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730"/>
  <workbookPr defaultThemeVersion="166925"/>
  <mc:AlternateContent xmlns:mc="http://schemas.openxmlformats.org/markup-compatibility/2006">
    <mc:Choice Requires="x15">
      <x15ac:absPath xmlns:x15ac="http://schemas.microsoft.com/office/spreadsheetml/2010/11/ac" url="D:\SERVER\ARCHIV\MENDELU Laboratoř P1091 obj.C\03 - RDS\_odevzdání\STAVBA\výkazy výměr\"/>
    </mc:Choice>
  </mc:AlternateContent>
  <xr:revisionPtr revIDLastSave="0" documentId="13_ncr:40009_{1069AC8F-63DA-4578-BD6C-20FC9DC7DB61}" xr6:coauthVersionLast="45" xr6:coauthVersionMax="45" xr10:uidLastSave="{00000000-0000-0000-0000-000000000000}"/>
  <bookViews>
    <workbookView xWindow="-120" yWindow="-120" windowWidth="29040" windowHeight="17640" activeTab="3"/>
  </bookViews>
  <sheets>
    <sheet name="Krycí list rozpočtu" sheetId="1" r:id="rId1"/>
    <sheet name="Rozpočet - objekty" sheetId="2" r:id="rId2"/>
    <sheet name="Rozpočet - skupiny" sheetId="3" r:id="rId3"/>
    <sheet name="Stavební rozpočet" sheetId="4" r:id="rId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 i="1" l="1"/>
  <c r="F2" i="1"/>
  <c r="C4" i="1"/>
  <c r="F4" i="1"/>
  <c r="C6" i="1"/>
  <c r="F6" i="1"/>
  <c r="C8" i="1"/>
  <c r="F8" i="1"/>
  <c r="C10" i="1"/>
  <c r="F10" i="1"/>
  <c r="I10" i="1"/>
  <c r="F22" i="1"/>
  <c r="I22" i="1"/>
  <c r="D2" i="2"/>
  <c r="G2" i="2"/>
  <c r="J2" i="2"/>
  <c r="D4" i="2"/>
  <c r="G4" i="2"/>
  <c r="J4" i="2"/>
  <c r="D6" i="2"/>
  <c r="G6" i="2"/>
  <c r="J6" i="2"/>
  <c r="D8" i="2"/>
  <c r="G8" i="2"/>
  <c r="J8" i="2"/>
  <c r="N12" i="2"/>
  <c r="N13" i="2"/>
  <c r="D2" i="3"/>
  <c r="G2" i="3"/>
  <c r="J2" i="3"/>
  <c r="D4" i="3"/>
  <c r="G4" i="3"/>
  <c r="J4" i="3"/>
  <c r="D6" i="3"/>
  <c r="G6" i="3"/>
  <c r="J6" i="3"/>
  <c r="D8" i="3"/>
  <c r="G8" i="3"/>
  <c r="J8" i="3"/>
  <c r="N12" i="3"/>
  <c r="P13" i="3"/>
  <c r="P14" i="3"/>
  <c r="P15" i="3"/>
  <c r="P16" i="3"/>
  <c r="P17" i="3"/>
  <c r="N18" i="3"/>
  <c r="P19" i="3"/>
  <c r="P20" i="3"/>
  <c r="P21" i="3"/>
  <c r="P22" i="3"/>
  <c r="P23" i="3"/>
  <c r="K14" i="4"/>
  <c r="K13" i="4" s="1"/>
  <c r="Z14" i="4"/>
  <c r="AD14" i="4"/>
  <c r="AE14" i="4"/>
  <c r="AF14" i="4"/>
  <c r="AG14" i="4"/>
  <c r="AH14" i="4"/>
  <c r="AJ14" i="4"/>
  <c r="AS13" i="4" s="1"/>
  <c r="AK14" i="4"/>
  <c r="AL14" i="4"/>
  <c r="AU13" i="4" s="1"/>
  <c r="AO14" i="4"/>
  <c r="I14" i="4" s="1"/>
  <c r="I13" i="4" s="1"/>
  <c r="AP14" i="4"/>
  <c r="J14" i="4" s="1"/>
  <c r="J13" i="4" s="1"/>
  <c r="AW14" i="4"/>
  <c r="BD14" i="4"/>
  <c r="BF14" i="4"/>
  <c r="BH14" i="4"/>
  <c r="AB14" i="4" s="1"/>
  <c r="BI14" i="4"/>
  <c r="AC14" i="4" s="1"/>
  <c r="BJ14" i="4"/>
  <c r="K18" i="4"/>
  <c r="Z18" i="4"/>
  <c r="AD18" i="4"/>
  <c r="AE18" i="4"/>
  <c r="AF18" i="4"/>
  <c r="AG18" i="4"/>
  <c r="AH18" i="4"/>
  <c r="AJ18" i="4"/>
  <c r="AK18" i="4"/>
  <c r="AL18" i="4"/>
  <c r="AO18" i="4"/>
  <c r="I18" i="4" s="1"/>
  <c r="AP18" i="4"/>
  <c r="AX18" i="4" s="1"/>
  <c r="BC18" i="4" s="1"/>
  <c r="AW18" i="4"/>
  <c r="BD18" i="4"/>
  <c r="BF18" i="4"/>
  <c r="BH18" i="4"/>
  <c r="AB18" i="4" s="1"/>
  <c r="BJ18" i="4"/>
  <c r="K22" i="4"/>
  <c r="AL22" i="4" s="1"/>
  <c r="Z22" i="4"/>
  <c r="AD22" i="4"/>
  <c r="AE22" i="4"/>
  <c r="AF22" i="4"/>
  <c r="AG22" i="4"/>
  <c r="AH22" i="4"/>
  <c r="AJ22" i="4"/>
  <c r="AK22" i="4"/>
  <c r="AT17" i="4" s="1"/>
  <c r="AO22" i="4"/>
  <c r="AW22" i="4" s="1"/>
  <c r="AP22" i="4"/>
  <c r="J22" i="4" s="1"/>
  <c r="BD22" i="4"/>
  <c r="BF22" i="4"/>
  <c r="BH22" i="4"/>
  <c r="AB22" i="4" s="1"/>
  <c r="BJ22" i="4"/>
  <c r="K25" i="4"/>
  <c r="AL25" i="4" s="1"/>
  <c r="Z25" i="4"/>
  <c r="AB25" i="4"/>
  <c r="AC25" i="4"/>
  <c r="AF25" i="4"/>
  <c r="AG25" i="4"/>
  <c r="AH25" i="4"/>
  <c r="AJ25" i="4"/>
  <c r="AK25" i="4"/>
  <c r="AO25" i="4"/>
  <c r="AW25" i="4" s="1"/>
  <c r="AP25" i="4"/>
  <c r="J25" i="4" s="1"/>
  <c r="BD25" i="4"/>
  <c r="BF25" i="4"/>
  <c r="BH25" i="4"/>
  <c r="AD25" i="4" s="1"/>
  <c r="BJ25" i="4"/>
  <c r="K27" i="4"/>
  <c r="Z27" i="4"/>
  <c r="AB27" i="4"/>
  <c r="AC27" i="4"/>
  <c r="AF27" i="4"/>
  <c r="AG27" i="4"/>
  <c r="AH27" i="4"/>
  <c r="AJ27" i="4"/>
  <c r="AK27" i="4"/>
  <c r="AL27" i="4"/>
  <c r="AO27" i="4"/>
  <c r="I27" i="4" s="1"/>
  <c r="AP27" i="4"/>
  <c r="J27" i="4" s="1"/>
  <c r="AW27" i="4"/>
  <c r="BD27" i="4"/>
  <c r="BF27" i="4"/>
  <c r="BH27" i="4"/>
  <c r="AD27" i="4" s="1"/>
  <c r="BI27" i="4"/>
  <c r="AE27" i="4" s="1"/>
  <c r="BJ27" i="4"/>
  <c r="K29" i="4"/>
  <c r="Z29" i="4"/>
  <c r="AB29" i="4"/>
  <c r="AC29" i="4"/>
  <c r="AF29" i="4"/>
  <c r="AG29" i="4"/>
  <c r="AH29" i="4"/>
  <c r="AJ29" i="4"/>
  <c r="AK29" i="4"/>
  <c r="AL29" i="4"/>
  <c r="AO29" i="4"/>
  <c r="I29" i="4" s="1"/>
  <c r="AP29" i="4"/>
  <c r="J29" i="4" s="1"/>
  <c r="AW29" i="4"/>
  <c r="BD29" i="4"/>
  <c r="BF29" i="4"/>
  <c r="BH29" i="4"/>
  <c r="AD29" i="4" s="1"/>
  <c r="BI29" i="4"/>
  <c r="AE29" i="4" s="1"/>
  <c r="BJ29" i="4"/>
  <c r="K31" i="4"/>
  <c r="Z31" i="4"/>
  <c r="AB31" i="4"/>
  <c r="AC31" i="4"/>
  <c r="AF31" i="4"/>
  <c r="AG31" i="4"/>
  <c r="AH31" i="4"/>
  <c r="AJ31" i="4"/>
  <c r="AK31" i="4"/>
  <c r="AL31" i="4"/>
  <c r="AO31" i="4"/>
  <c r="I31" i="4" s="1"/>
  <c r="AP31" i="4"/>
  <c r="AX31" i="4" s="1"/>
  <c r="AW31" i="4"/>
  <c r="AV31" i="4" s="1"/>
  <c r="BD31" i="4"/>
  <c r="BF31" i="4"/>
  <c r="BH31" i="4"/>
  <c r="AD31" i="4" s="1"/>
  <c r="BI31" i="4"/>
  <c r="AE31" i="4" s="1"/>
  <c r="BJ31" i="4"/>
  <c r="K33" i="4"/>
  <c r="Z33" i="4"/>
  <c r="AB33" i="4"/>
  <c r="AC33" i="4"/>
  <c r="AF33" i="4"/>
  <c r="AG33" i="4"/>
  <c r="AH33" i="4"/>
  <c r="AJ33" i="4"/>
  <c r="AK33" i="4"/>
  <c r="AL33" i="4"/>
  <c r="AO33" i="4"/>
  <c r="I33" i="4" s="1"/>
  <c r="AP33" i="4"/>
  <c r="AX33" i="4" s="1"/>
  <c r="BC33" i="4" s="1"/>
  <c r="AW33" i="4"/>
  <c r="AV33" i="4" s="1"/>
  <c r="BD33" i="4"/>
  <c r="BF33" i="4"/>
  <c r="BH33" i="4"/>
  <c r="AD33" i="4" s="1"/>
  <c r="BI33" i="4"/>
  <c r="AE33" i="4" s="1"/>
  <c r="BJ33" i="4"/>
  <c r="K35" i="4"/>
  <c r="Z35" i="4"/>
  <c r="AB35" i="4"/>
  <c r="AC35" i="4"/>
  <c r="AF35" i="4"/>
  <c r="AG35" i="4"/>
  <c r="AH35" i="4"/>
  <c r="AJ35" i="4"/>
  <c r="AK35" i="4"/>
  <c r="AL35" i="4"/>
  <c r="AO35" i="4"/>
  <c r="I35" i="4" s="1"/>
  <c r="AP35" i="4"/>
  <c r="AX35" i="4" s="1"/>
  <c r="BC35" i="4" s="1"/>
  <c r="AW35" i="4"/>
  <c r="BD35" i="4"/>
  <c r="BF35" i="4"/>
  <c r="BH35" i="4"/>
  <c r="AD35" i="4" s="1"/>
  <c r="BI35" i="4"/>
  <c r="AE35" i="4" s="1"/>
  <c r="BJ35" i="4"/>
  <c r="K37" i="4"/>
  <c r="AL37" i="4" s="1"/>
  <c r="Z37" i="4"/>
  <c r="AB37" i="4"/>
  <c r="AC37" i="4"/>
  <c r="AF37" i="4"/>
  <c r="AG37" i="4"/>
  <c r="AH37" i="4"/>
  <c r="AJ37" i="4"/>
  <c r="AK37" i="4"/>
  <c r="AO37" i="4"/>
  <c r="AW37" i="4" s="1"/>
  <c r="AP37" i="4"/>
  <c r="J37" i="4" s="1"/>
  <c r="BD37" i="4"/>
  <c r="BF37" i="4"/>
  <c r="BH37" i="4"/>
  <c r="AD37" i="4" s="1"/>
  <c r="BJ37" i="4"/>
  <c r="K39" i="4"/>
  <c r="AL39" i="4" s="1"/>
  <c r="Z39" i="4"/>
  <c r="AB39" i="4"/>
  <c r="AC39" i="4"/>
  <c r="AF39" i="4"/>
  <c r="AG39" i="4"/>
  <c r="AH39" i="4"/>
  <c r="AJ39" i="4"/>
  <c r="AK39" i="4"/>
  <c r="AO39" i="4"/>
  <c r="I39" i="4" s="1"/>
  <c r="AP39" i="4"/>
  <c r="J39" i="4" s="1"/>
  <c r="BD39" i="4"/>
  <c r="BF39" i="4"/>
  <c r="BH39" i="4"/>
  <c r="AD39" i="4" s="1"/>
  <c r="BJ39" i="4"/>
  <c r="K41" i="4"/>
  <c r="Z41" i="4"/>
  <c r="AB41" i="4"/>
  <c r="AC41" i="4"/>
  <c r="AF41" i="4"/>
  <c r="AG41" i="4"/>
  <c r="AH41" i="4"/>
  <c r="AJ41" i="4"/>
  <c r="AK41" i="4"/>
  <c r="AL41" i="4"/>
  <c r="AO41" i="4"/>
  <c r="I41" i="4" s="1"/>
  <c r="AP41" i="4"/>
  <c r="AX41" i="4" s="1"/>
  <c r="AW41" i="4"/>
  <c r="AV41" i="4" s="1"/>
  <c r="BD41" i="4"/>
  <c r="BF41" i="4"/>
  <c r="BH41" i="4"/>
  <c r="AD41" i="4" s="1"/>
  <c r="BI41" i="4"/>
  <c r="AE41" i="4" s="1"/>
  <c r="BJ41" i="4"/>
  <c r="K43" i="4"/>
  <c r="Z43" i="4"/>
  <c r="AB43" i="4"/>
  <c r="AC43" i="4"/>
  <c r="AF43" i="4"/>
  <c r="AG43" i="4"/>
  <c r="AH43" i="4"/>
  <c r="AJ43" i="4"/>
  <c r="AK43" i="4"/>
  <c r="AL43" i="4"/>
  <c r="AO43" i="4"/>
  <c r="I43" i="4" s="1"/>
  <c r="AP43" i="4"/>
  <c r="J43" i="4" s="1"/>
  <c r="AW43" i="4"/>
  <c r="BD43" i="4"/>
  <c r="BF43" i="4"/>
  <c r="BH43" i="4"/>
  <c r="AD43" i="4" s="1"/>
  <c r="BI43" i="4"/>
  <c r="AE43" i="4" s="1"/>
  <c r="BJ43" i="4"/>
  <c r="K45" i="4"/>
  <c r="Z45" i="4"/>
  <c r="AB45" i="4"/>
  <c r="AC45" i="4"/>
  <c r="AF45" i="4"/>
  <c r="AG45" i="4"/>
  <c r="AH45" i="4"/>
  <c r="AJ45" i="4"/>
  <c r="AK45" i="4"/>
  <c r="AL45" i="4"/>
  <c r="AO45" i="4"/>
  <c r="I45" i="4" s="1"/>
  <c r="AP45" i="4"/>
  <c r="AX45" i="4" s="1"/>
  <c r="AW45" i="4"/>
  <c r="BC45" i="4" s="1"/>
  <c r="BD45" i="4"/>
  <c r="BF45" i="4"/>
  <c r="BH45" i="4"/>
  <c r="AD45" i="4" s="1"/>
  <c r="BI45" i="4"/>
  <c r="AE45" i="4" s="1"/>
  <c r="BJ45" i="4"/>
  <c r="K47" i="4"/>
  <c r="Z47" i="4"/>
  <c r="AB47" i="4"/>
  <c r="AC47" i="4"/>
  <c r="AF47" i="4"/>
  <c r="AG47" i="4"/>
  <c r="AH47" i="4"/>
  <c r="AJ47" i="4"/>
  <c r="AK47" i="4"/>
  <c r="AL47" i="4"/>
  <c r="AO47" i="4"/>
  <c r="I47" i="4" s="1"/>
  <c r="AP47" i="4"/>
  <c r="AX47" i="4" s="1"/>
  <c r="AW47" i="4"/>
  <c r="AV47" i="4" s="1"/>
  <c r="BD47" i="4"/>
  <c r="BF47" i="4"/>
  <c r="BH47" i="4"/>
  <c r="AD47" i="4" s="1"/>
  <c r="BI47" i="4"/>
  <c r="AE47" i="4" s="1"/>
  <c r="BJ47" i="4"/>
  <c r="K49" i="4"/>
  <c r="Z49" i="4"/>
  <c r="AB49" i="4"/>
  <c r="AC49" i="4"/>
  <c r="AF49" i="4"/>
  <c r="AG49" i="4"/>
  <c r="AH49" i="4"/>
  <c r="AJ49" i="4"/>
  <c r="AK49" i="4"/>
  <c r="AL49" i="4"/>
  <c r="AO49" i="4"/>
  <c r="I49" i="4" s="1"/>
  <c r="AP49" i="4"/>
  <c r="J49" i="4" s="1"/>
  <c r="AW49" i="4"/>
  <c r="BD49" i="4"/>
  <c r="BF49" i="4"/>
  <c r="BH49" i="4"/>
  <c r="AD49" i="4" s="1"/>
  <c r="BI49" i="4"/>
  <c r="AE49" i="4" s="1"/>
  <c r="BJ49" i="4"/>
  <c r="K51" i="4"/>
  <c r="Z51" i="4"/>
  <c r="AB51" i="4"/>
  <c r="AC51" i="4"/>
  <c r="AF51" i="4"/>
  <c r="AG51" i="4"/>
  <c r="AH51" i="4"/>
  <c r="AJ51" i="4"/>
  <c r="AK51" i="4"/>
  <c r="AL51" i="4"/>
  <c r="AO51" i="4"/>
  <c r="I51" i="4" s="1"/>
  <c r="AP51" i="4"/>
  <c r="J51" i="4" s="1"/>
  <c r="AW51" i="4"/>
  <c r="BD51" i="4"/>
  <c r="BF51" i="4"/>
  <c r="BH51" i="4"/>
  <c r="AD51" i="4" s="1"/>
  <c r="BI51" i="4"/>
  <c r="AE51" i="4" s="1"/>
  <c r="BJ51" i="4"/>
  <c r="K53" i="4"/>
  <c r="AL53" i="4" s="1"/>
  <c r="Z53" i="4"/>
  <c r="AB53" i="4"/>
  <c r="AC53" i="4"/>
  <c r="AF53" i="4"/>
  <c r="AG53" i="4"/>
  <c r="AH53" i="4"/>
  <c r="AJ53" i="4"/>
  <c r="AK53" i="4"/>
  <c r="AO53" i="4"/>
  <c r="AW53" i="4" s="1"/>
  <c r="AP53" i="4"/>
  <c r="J53" i="4" s="1"/>
  <c r="BD53" i="4"/>
  <c r="BF53" i="4"/>
  <c r="BH53" i="4"/>
  <c r="AD53" i="4" s="1"/>
  <c r="BJ53" i="4"/>
  <c r="K56" i="4"/>
  <c r="AL56" i="4" s="1"/>
  <c r="Z56" i="4"/>
  <c r="AB56" i="4"/>
  <c r="AC56" i="4"/>
  <c r="AF56" i="4"/>
  <c r="AG56" i="4"/>
  <c r="AH56" i="4"/>
  <c r="AJ56" i="4"/>
  <c r="AK56" i="4"/>
  <c r="AO56" i="4"/>
  <c r="AW56" i="4" s="1"/>
  <c r="AP56" i="4"/>
  <c r="J56" i="4" s="1"/>
  <c r="BD56" i="4"/>
  <c r="BF56" i="4"/>
  <c r="BH56" i="4"/>
  <c r="AD56" i="4" s="1"/>
  <c r="BJ56" i="4"/>
  <c r="K58" i="4"/>
  <c r="Z58" i="4"/>
  <c r="AB58" i="4"/>
  <c r="AC58" i="4"/>
  <c r="AF58" i="4"/>
  <c r="AG58" i="4"/>
  <c r="AH58" i="4"/>
  <c r="AJ58" i="4"/>
  <c r="AK58" i="4"/>
  <c r="AL58" i="4"/>
  <c r="AO58" i="4"/>
  <c r="I58" i="4" s="1"/>
  <c r="AP58" i="4"/>
  <c r="AX58" i="4" s="1"/>
  <c r="BC58" i="4" s="1"/>
  <c r="AW58" i="4"/>
  <c r="AV58" i="4" s="1"/>
  <c r="BD58" i="4"/>
  <c r="BF58" i="4"/>
  <c r="BH58" i="4"/>
  <c r="AD58" i="4" s="1"/>
  <c r="BI58" i="4"/>
  <c r="AE58" i="4" s="1"/>
  <c r="BJ58" i="4"/>
  <c r="K61" i="4"/>
  <c r="Z61" i="4"/>
  <c r="AB61" i="4"/>
  <c r="AC61" i="4"/>
  <c r="AF61" i="4"/>
  <c r="AG61" i="4"/>
  <c r="AH61" i="4"/>
  <c r="AJ61" i="4"/>
  <c r="AK61" i="4"/>
  <c r="AL61" i="4"/>
  <c r="AO61" i="4"/>
  <c r="I61" i="4" s="1"/>
  <c r="AP61" i="4"/>
  <c r="AX61" i="4" s="1"/>
  <c r="AW61" i="4"/>
  <c r="AV61" i="4" s="1"/>
  <c r="BD61" i="4"/>
  <c r="BF61" i="4"/>
  <c r="BH61" i="4"/>
  <c r="AD61" i="4" s="1"/>
  <c r="BI61" i="4"/>
  <c r="AE61" i="4" s="1"/>
  <c r="BJ61" i="4"/>
  <c r="K63" i="4"/>
  <c r="Z63" i="4"/>
  <c r="AB63" i="4"/>
  <c r="AC63" i="4"/>
  <c r="AF63" i="4"/>
  <c r="AG63" i="4"/>
  <c r="AH63" i="4"/>
  <c r="AJ63" i="4"/>
  <c r="AK63" i="4"/>
  <c r="AL63" i="4"/>
  <c r="AO63" i="4"/>
  <c r="I63" i="4" s="1"/>
  <c r="AP63" i="4"/>
  <c r="AX63" i="4" s="1"/>
  <c r="BC63" i="4" s="1"/>
  <c r="AW63" i="4"/>
  <c r="AV63" i="4" s="1"/>
  <c r="BD63" i="4"/>
  <c r="BF63" i="4"/>
  <c r="BH63" i="4"/>
  <c r="AD63" i="4" s="1"/>
  <c r="BI63" i="4"/>
  <c r="AE63" i="4" s="1"/>
  <c r="BJ63" i="4"/>
  <c r="K65" i="4"/>
  <c r="Z65" i="4"/>
  <c r="AB65" i="4"/>
  <c r="AC65" i="4"/>
  <c r="AF65" i="4"/>
  <c r="AG65" i="4"/>
  <c r="AH65" i="4"/>
  <c r="AJ65" i="4"/>
  <c r="AK65" i="4"/>
  <c r="AL65" i="4"/>
  <c r="AO65" i="4"/>
  <c r="I65" i="4" s="1"/>
  <c r="AP65" i="4"/>
  <c r="AX65" i="4" s="1"/>
  <c r="AW65" i="4"/>
  <c r="BC65" i="4" s="1"/>
  <c r="BD65" i="4"/>
  <c r="BF65" i="4"/>
  <c r="BH65" i="4"/>
  <c r="AD65" i="4" s="1"/>
  <c r="BI65" i="4"/>
  <c r="AE65" i="4" s="1"/>
  <c r="BJ65" i="4"/>
  <c r="K67" i="4"/>
  <c r="Z67" i="4"/>
  <c r="AB67" i="4"/>
  <c r="AC67" i="4"/>
  <c r="AF67" i="4"/>
  <c r="AG67" i="4"/>
  <c r="AH67" i="4"/>
  <c r="AJ67" i="4"/>
  <c r="AK67" i="4"/>
  <c r="AL67" i="4"/>
  <c r="AO67" i="4"/>
  <c r="I67" i="4" s="1"/>
  <c r="AP67" i="4"/>
  <c r="J67" i="4" s="1"/>
  <c r="AW67" i="4"/>
  <c r="BD67" i="4"/>
  <c r="BF67" i="4"/>
  <c r="BH67" i="4"/>
  <c r="AD67" i="4" s="1"/>
  <c r="BI67" i="4"/>
  <c r="AE67" i="4" s="1"/>
  <c r="BJ67" i="4"/>
  <c r="K69" i="4"/>
  <c r="Z69" i="4"/>
  <c r="AB69" i="4"/>
  <c r="AC69" i="4"/>
  <c r="AF69" i="4"/>
  <c r="AG69" i="4"/>
  <c r="AH69" i="4"/>
  <c r="AJ69" i="4"/>
  <c r="AK69" i="4"/>
  <c r="AL69" i="4"/>
  <c r="AO69" i="4"/>
  <c r="I69" i="4" s="1"/>
  <c r="AP69" i="4"/>
  <c r="AX69" i="4" s="1"/>
  <c r="AW69" i="4"/>
  <c r="AV69" i="4" s="1"/>
  <c r="BD69" i="4"/>
  <c r="BF69" i="4"/>
  <c r="BH69" i="4"/>
  <c r="AD69" i="4" s="1"/>
  <c r="BI69" i="4"/>
  <c r="AE69" i="4" s="1"/>
  <c r="BJ69" i="4"/>
  <c r="K71" i="4"/>
  <c r="Z71" i="4"/>
  <c r="AB71" i="4"/>
  <c r="AC71" i="4"/>
  <c r="AF71" i="4"/>
  <c r="AG71" i="4"/>
  <c r="AH71" i="4"/>
  <c r="AJ71" i="4"/>
  <c r="AK71" i="4"/>
  <c r="AL71" i="4"/>
  <c r="AO71" i="4"/>
  <c r="I71" i="4" s="1"/>
  <c r="AP71" i="4"/>
  <c r="AX71" i="4" s="1"/>
  <c r="BC71" i="4" s="1"/>
  <c r="AW71" i="4"/>
  <c r="AV71" i="4" s="1"/>
  <c r="BD71" i="4"/>
  <c r="BF71" i="4"/>
  <c r="BH71" i="4"/>
  <c r="AD71" i="4" s="1"/>
  <c r="BI71" i="4"/>
  <c r="AE71" i="4" s="1"/>
  <c r="BJ71" i="4"/>
  <c r="K75" i="4"/>
  <c r="Z75" i="4"/>
  <c r="AB75" i="4"/>
  <c r="AC75" i="4"/>
  <c r="AF75" i="4"/>
  <c r="AG75" i="4"/>
  <c r="AH75" i="4"/>
  <c r="AJ75" i="4"/>
  <c r="AK75" i="4"/>
  <c r="AL75" i="4"/>
  <c r="AO75" i="4"/>
  <c r="I75" i="4" s="1"/>
  <c r="AP75" i="4"/>
  <c r="AX75" i="4" s="1"/>
  <c r="AW75" i="4"/>
  <c r="AV75" i="4" s="1"/>
  <c r="BD75" i="4"/>
  <c r="BF75" i="4"/>
  <c r="BH75" i="4"/>
  <c r="AD75" i="4" s="1"/>
  <c r="BI75" i="4"/>
  <c r="AE75" i="4" s="1"/>
  <c r="BJ75" i="4"/>
  <c r="K77" i="4"/>
  <c r="Z77" i="4"/>
  <c r="AB77" i="4"/>
  <c r="AC77" i="4"/>
  <c r="AF77" i="4"/>
  <c r="AG77" i="4"/>
  <c r="AH77" i="4"/>
  <c r="AJ77" i="4"/>
  <c r="AK77" i="4"/>
  <c r="AL77" i="4"/>
  <c r="AO77" i="4"/>
  <c r="I77" i="4" s="1"/>
  <c r="AP77" i="4"/>
  <c r="J77" i="4" s="1"/>
  <c r="AW77" i="4"/>
  <c r="BD77" i="4"/>
  <c r="BF77" i="4"/>
  <c r="BH77" i="4"/>
  <c r="AD77" i="4" s="1"/>
  <c r="BI77" i="4"/>
  <c r="AE77" i="4" s="1"/>
  <c r="BJ77" i="4"/>
  <c r="K81" i="4"/>
  <c r="Z81" i="4"/>
  <c r="AB81" i="4"/>
  <c r="AC81" i="4"/>
  <c r="AF81" i="4"/>
  <c r="AG81" i="4"/>
  <c r="AH81" i="4"/>
  <c r="AJ81" i="4"/>
  <c r="AK81" i="4"/>
  <c r="AL81" i="4"/>
  <c r="AO81" i="4"/>
  <c r="I81" i="4" s="1"/>
  <c r="AP81" i="4"/>
  <c r="J81" i="4" s="1"/>
  <c r="AW81" i="4"/>
  <c r="BD81" i="4"/>
  <c r="BF81" i="4"/>
  <c r="BH81" i="4"/>
  <c r="AD81" i="4" s="1"/>
  <c r="BI81" i="4"/>
  <c r="AE81" i="4" s="1"/>
  <c r="BJ81" i="4"/>
  <c r="K85" i="4"/>
  <c r="Z85" i="4"/>
  <c r="AB85" i="4"/>
  <c r="AC85" i="4"/>
  <c r="AF85" i="4"/>
  <c r="AG85" i="4"/>
  <c r="AH85" i="4"/>
  <c r="AJ85" i="4"/>
  <c r="AK85" i="4"/>
  <c r="AL85" i="4"/>
  <c r="AO85" i="4"/>
  <c r="I85" i="4" s="1"/>
  <c r="AP85" i="4"/>
  <c r="AX85" i="4" s="1"/>
  <c r="AW85" i="4"/>
  <c r="AV85" i="4" s="1"/>
  <c r="BD85" i="4"/>
  <c r="BF85" i="4"/>
  <c r="BH85" i="4"/>
  <c r="AD85" i="4" s="1"/>
  <c r="BI85" i="4"/>
  <c r="AE85" i="4" s="1"/>
  <c r="BJ85" i="4"/>
  <c r="K87" i="4"/>
  <c r="AL87" i="4" s="1"/>
  <c r="Z87" i="4"/>
  <c r="AB87" i="4"/>
  <c r="AC87" i="4"/>
  <c r="AF87" i="4"/>
  <c r="AG87" i="4"/>
  <c r="AH87" i="4"/>
  <c r="AJ87" i="4"/>
  <c r="AK87" i="4"/>
  <c r="AO87" i="4"/>
  <c r="I87" i="4" s="1"/>
  <c r="AP87" i="4"/>
  <c r="J87" i="4" s="1"/>
  <c r="AW87" i="4"/>
  <c r="BD87" i="4"/>
  <c r="BF87" i="4"/>
  <c r="BI87" i="4"/>
  <c r="AE87" i="4" s="1"/>
  <c r="BJ87" i="4"/>
  <c r="K89" i="4"/>
  <c r="Z89" i="4"/>
  <c r="AB89" i="4"/>
  <c r="AC89" i="4"/>
  <c r="AF89" i="4"/>
  <c r="AG89" i="4"/>
  <c r="AH89" i="4"/>
  <c r="AJ89" i="4"/>
  <c r="AK89" i="4"/>
  <c r="AL89" i="4"/>
  <c r="AO89" i="4"/>
  <c r="I89" i="4" s="1"/>
  <c r="AP89" i="4"/>
  <c r="J89" i="4" s="1"/>
  <c r="AW89" i="4"/>
  <c r="BD89" i="4"/>
  <c r="BF89" i="4"/>
  <c r="BH89" i="4"/>
  <c r="AD89" i="4" s="1"/>
  <c r="BI89" i="4"/>
  <c r="AE89" i="4" s="1"/>
  <c r="BJ89" i="4"/>
  <c r="K91" i="4"/>
  <c r="Z91" i="4"/>
  <c r="AB91" i="4"/>
  <c r="AC91" i="4"/>
  <c r="AF91" i="4"/>
  <c r="AG91" i="4"/>
  <c r="AH91" i="4"/>
  <c r="AJ91" i="4"/>
  <c r="AK91" i="4"/>
  <c r="AL91" i="4"/>
  <c r="AO91" i="4"/>
  <c r="I91" i="4" s="1"/>
  <c r="AP91" i="4"/>
  <c r="AX91" i="4" s="1"/>
  <c r="AW91" i="4"/>
  <c r="BC91" i="4" s="1"/>
  <c r="BD91" i="4"/>
  <c r="BF91" i="4"/>
  <c r="BH91" i="4"/>
  <c r="AD91" i="4" s="1"/>
  <c r="BI91" i="4"/>
  <c r="AE91" i="4" s="1"/>
  <c r="BJ91" i="4"/>
  <c r="K93" i="4"/>
  <c r="Z93" i="4"/>
  <c r="AB93" i="4"/>
  <c r="AC93" i="4"/>
  <c r="AF93" i="4"/>
  <c r="AG93" i="4"/>
  <c r="AH93" i="4"/>
  <c r="AJ93" i="4"/>
  <c r="AK93" i="4"/>
  <c r="AL93" i="4"/>
  <c r="AO93" i="4"/>
  <c r="I93" i="4" s="1"/>
  <c r="AP93" i="4"/>
  <c r="J93" i="4" s="1"/>
  <c r="AW93" i="4"/>
  <c r="BD93" i="4"/>
  <c r="BF93" i="4"/>
  <c r="BH93" i="4"/>
  <c r="AD93" i="4" s="1"/>
  <c r="BI93" i="4"/>
  <c r="AE93" i="4" s="1"/>
  <c r="BJ93" i="4"/>
  <c r="K95" i="4"/>
  <c r="Z95" i="4"/>
  <c r="AB95" i="4"/>
  <c r="AC95" i="4"/>
  <c r="AF95" i="4"/>
  <c r="AG95" i="4"/>
  <c r="AH95" i="4"/>
  <c r="AJ95" i="4"/>
  <c r="AK95" i="4"/>
  <c r="AL95" i="4"/>
  <c r="AO95" i="4"/>
  <c r="I95" i="4" s="1"/>
  <c r="AP95" i="4"/>
  <c r="AX95" i="4" s="1"/>
  <c r="AW95" i="4"/>
  <c r="AV95" i="4" s="1"/>
  <c r="BD95" i="4"/>
  <c r="BF95" i="4"/>
  <c r="BH95" i="4"/>
  <c r="AD95" i="4" s="1"/>
  <c r="BI95" i="4"/>
  <c r="AE95" i="4" s="1"/>
  <c r="BJ95" i="4"/>
  <c r="K97" i="4"/>
  <c r="Z97" i="4"/>
  <c r="AB97" i="4"/>
  <c r="AC97" i="4"/>
  <c r="AF97" i="4"/>
  <c r="AG97" i="4"/>
  <c r="AH97" i="4"/>
  <c r="AJ97" i="4"/>
  <c r="AK97" i="4"/>
  <c r="AL97" i="4"/>
  <c r="AO97" i="4"/>
  <c r="I97" i="4" s="1"/>
  <c r="AP97" i="4"/>
  <c r="J97" i="4" s="1"/>
  <c r="AW97" i="4"/>
  <c r="BD97" i="4"/>
  <c r="BF97" i="4"/>
  <c r="BH97" i="4"/>
  <c r="AD97" i="4" s="1"/>
  <c r="BI97" i="4"/>
  <c r="AE97" i="4" s="1"/>
  <c r="BJ97" i="4"/>
  <c r="K100" i="4"/>
  <c r="Z100" i="4"/>
  <c r="AB100" i="4"/>
  <c r="AC100" i="4"/>
  <c r="AF100" i="4"/>
  <c r="AG100" i="4"/>
  <c r="AH100" i="4"/>
  <c r="AJ100" i="4"/>
  <c r="AK100" i="4"/>
  <c r="AL100" i="4"/>
  <c r="AO100" i="4"/>
  <c r="I100" i="4" s="1"/>
  <c r="AP100" i="4"/>
  <c r="J100" i="4" s="1"/>
  <c r="AW100" i="4"/>
  <c r="BD100" i="4"/>
  <c r="BF100" i="4"/>
  <c r="BH100" i="4"/>
  <c r="AD100" i="4" s="1"/>
  <c r="BI100" i="4"/>
  <c r="AE100" i="4" s="1"/>
  <c r="BJ100" i="4"/>
  <c r="K102" i="4"/>
  <c r="Z102" i="4"/>
  <c r="AB102" i="4"/>
  <c r="AC102" i="4"/>
  <c r="AF102" i="4"/>
  <c r="AG102" i="4"/>
  <c r="AH102" i="4"/>
  <c r="AJ102" i="4"/>
  <c r="AK102" i="4"/>
  <c r="AL102" i="4"/>
  <c r="AO102" i="4"/>
  <c r="I102" i="4" s="1"/>
  <c r="AP102" i="4"/>
  <c r="AX102" i="4" s="1"/>
  <c r="AW102" i="4"/>
  <c r="AV102" i="4" s="1"/>
  <c r="BD102" i="4"/>
  <c r="BF102" i="4"/>
  <c r="BH102" i="4"/>
  <c r="AD102" i="4" s="1"/>
  <c r="BI102" i="4"/>
  <c r="AE102" i="4" s="1"/>
  <c r="BJ102" i="4"/>
  <c r="K104" i="4"/>
  <c r="Z104" i="4"/>
  <c r="AB104" i="4"/>
  <c r="AC104" i="4"/>
  <c r="AF104" i="4"/>
  <c r="AG104" i="4"/>
  <c r="AH104" i="4"/>
  <c r="AJ104" i="4"/>
  <c r="AK104" i="4"/>
  <c r="AL104" i="4"/>
  <c r="AO104" i="4"/>
  <c r="I104" i="4" s="1"/>
  <c r="AP104" i="4"/>
  <c r="AX104" i="4" s="1"/>
  <c r="AW104" i="4"/>
  <c r="AV104" i="4" s="1"/>
  <c r="BD104" i="4"/>
  <c r="BF104" i="4"/>
  <c r="BH104" i="4"/>
  <c r="AD104" i="4" s="1"/>
  <c r="BI104" i="4"/>
  <c r="AE104" i="4" s="1"/>
  <c r="BJ104" i="4"/>
  <c r="K106" i="4"/>
  <c r="AL106" i="4" s="1"/>
  <c r="Z106" i="4"/>
  <c r="AB106" i="4"/>
  <c r="AC106" i="4"/>
  <c r="AF106" i="4"/>
  <c r="AG106" i="4"/>
  <c r="AH106" i="4"/>
  <c r="AJ106" i="4"/>
  <c r="AK106" i="4"/>
  <c r="AO106" i="4"/>
  <c r="I106" i="4" s="1"/>
  <c r="AP106" i="4"/>
  <c r="AX106" i="4" s="1"/>
  <c r="AW106" i="4"/>
  <c r="BC106" i="4" s="1"/>
  <c r="BD106" i="4"/>
  <c r="BF106" i="4"/>
  <c r="BI106" i="4"/>
  <c r="AE106" i="4" s="1"/>
  <c r="BJ106" i="4"/>
  <c r="K108" i="4"/>
  <c r="Z108" i="4"/>
  <c r="AB108" i="4"/>
  <c r="AC108" i="4"/>
  <c r="AF108" i="4"/>
  <c r="AG108" i="4"/>
  <c r="AH108" i="4"/>
  <c r="AJ108" i="4"/>
  <c r="AK108" i="4"/>
  <c r="AL108" i="4"/>
  <c r="AO108" i="4"/>
  <c r="I108" i="4" s="1"/>
  <c r="AP108" i="4"/>
  <c r="AX108" i="4" s="1"/>
  <c r="BC108" i="4" s="1"/>
  <c r="AW108" i="4"/>
  <c r="AV108" i="4" s="1"/>
  <c r="BD108" i="4"/>
  <c r="BF108" i="4"/>
  <c r="BH108" i="4"/>
  <c r="AD108" i="4" s="1"/>
  <c r="BI108" i="4"/>
  <c r="AE108" i="4" s="1"/>
  <c r="BJ108" i="4"/>
  <c r="K112" i="4"/>
  <c r="Z112" i="4"/>
  <c r="AB112" i="4"/>
  <c r="AC112" i="4"/>
  <c r="AF112" i="4"/>
  <c r="AG112" i="4"/>
  <c r="AH112" i="4"/>
  <c r="AJ112" i="4"/>
  <c r="AK112" i="4"/>
  <c r="AL112" i="4"/>
  <c r="AO112" i="4"/>
  <c r="I112" i="4" s="1"/>
  <c r="AP112" i="4"/>
  <c r="AX112" i="4" s="1"/>
  <c r="AW112" i="4"/>
  <c r="BC112" i="4" s="1"/>
  <c r="BD112" i="4"/>
  <c r="BF112" i="4"/>
  <c r="BH112" i="4"/>
  <c r="AD112" i="4" s="1"/>
  <c r="BI112" i="4"/>
  <c r="AE112" i="4" s="1"/>
  <c r="BJ112" i="4"/>
  <c r="K116" i="4"/>
  <c r="Z116" i="4"/>
  <c r="AB116" i="4"/>
  <c r="AC116" i="4"/>
  <c r="AF116" i="4"/>
  <c r="AG116" i="4"/>
  <c r="AH116" i="4"/>
  <c r="AJ116" i="4"/>
  <c r="AK116" i="4"/>
  <c r="AL116" i="4"/>
  <c r="AO116" i="4"/>
  <c r="I116" i="4" s="1"/>
  <c r="AP116" i="4"/>
  <c r="AX116" i="4" s="1"/>
  <c r="BC116" i="4" s="1"/>
  <c r="AW116" i="4"/>
  <c r="AV116" i="4" s="1"/>
  <c r="BD116" i="4"/>
  <c r="BF116" i="4"/>
  <c r="BH116" i="4"/>
  <c r="AD116" i="4" s="1"/>
  <c r="BI116" i="4"/>
  <c r="AE116" i="4" s="1"/>
  <c r="BJ116" i="4"/>
  <c r="K119" i="4"/>
  <c r="Z119" i="4"/>
  <c r="AB119" i="4"/>
  <c r="AC119" i="4"/>
  <c r="AF119" i="4"/>
  <c r="AG119" i="4"/>
  <c r="AH119" i="4"/>
  <c r="AJ119" i="4"/>
  <c r="AK119" i="4"/>
  <c r="AL119" i="4"/>
  <c r="AO119" i="4"/>
  <c r="I119" i="4" s="1"/>
  <c r="AP119" i="4"/>
  <c r="J119" i="4" s="1"/>
  <c r="AW119" i="4"/>
  <c r="BD119" i="4"/>
  <c r="BF119" i="4"/>
  <c r="BH119" i="4"/>
  <c r="AD119" i="4" s="1"/>
  <c r="BI119" i="4"/>
  <c r="AE119" i="4" s="1"/>
  <c r="BJ119" i="4"/>
  <c r="K122" i="4"/>
  <c r="Z122" i="4"/>
  <c r="AB122" i="4"/>
  <c r="AC122" i="4"/>
  <c r="AF122" i="4"/>
  <c r="AG122" i="4"/>
  <c r="AH122" i="4"/>
  <c r="AJ122" i="4"/>
  <c r="AK122" i="4"/>
  <c r="AL122" i="4"/>
  <c r="AO122" i="4"/>
  <c r="I122" i="4" s="1"/>
  <c r="AP122" i="4"/>
  <c r="AX122" i="4" s="1"/>
  <c r="AW122" i="4"/>
  <c r="AV122" i="4" s="1"/>
  <c r="BD122" i="4"/>
  <c r="BF122" i="4"/>
  <c r="BH122" i="4"/>
  <c r="AD122" i="4" s="1"/>
  <c r="BI122" i="4"/>
  <c r="AE122" i="4" s="1"/>
  <c r="BJ122" i="4"/>
  <c r="K124" i="4"/>
  <c r="Z124" i="4"/>
  <c r="AB124" i="4"/>
  <c r="AC124" i="4"/>
  <c r="AF124" i="4"/>
  <c r="AG124" i="4"/>
  <c r="AH124" i="4"/>
  <c r="AJ124" i="4"/>
  <c r="AK124" i="4"/>
  <c r="AL124" i="4"/>
  <c r="AO124" i="4"/>
  <c r="I124" i="4" s="1"/>
  <c r="AP124" i="4"/>
  <c r="AX124" i="4" s="1"/>
  <c r="AW124" i="4"/>
  <c r="AV124" i="4" s="1"/>
  <c r="BD124" i="4"/>
  <c r="BF124" i="4"/>
  <c r="BH124" i="4"/>
  <c r="AD124" i="4" s="1"/>
  <c r="BI124" i="4"/>
  <c r="AE124" i="4" s="1"/>
  <c r="BJ124" i="4"/>
  <c r="K126" i="4"/>
  <c r="AL126" i="4" s="1"/>
  <c r="Z126" i="4"/>
  <c r="AB126" i="4"/>
  <c r="AC126" i="4"/>
  <c r="AF126" i="4"/>
  <c r="AG126" i="4"/>
  <c r="AH126" i="4"/>
  <c r="AJ126" i="4"/>
  <c r="AK126" i="4"/>
  <c r="AO126" i="4"/>
  <c r="AW126" i="4" s="1"/>
  <c r="AP126" i="4"/>
  <c r="J126" i="4" s="1"/>
  <c r="BD126" i="4"/>
  <c r="BF126" i="4"/>
  <c r="BH126" i="4"/>
  <c r="AD126" i="4" s="1"/>
  <c r="BJ126" i="4"/>
  <c r="K128" i="4"/>
  <c r="AL128" i="4" s="1"/>
  <c r="Z128" i="4"/>
  <c r="AB128" i="4"/>
  <c r="AC128" i="4"/>
  <c r="AF128" i="4"/>
  <c r="AG128" i="4"/>
  <c r="AH128" i="4"/>
  <c r="AJ128" i="4"/>
  <c r="AK128" i="4"/>
  <c r="AO128" i="4"/>
  <c r="I128" i="4" s="1"/>
  <c r="AP128" i="4"/>
  <c r="J128" i="4" s="1"/>
  <c r="BD128" i="4"/>
  <c r="BF128" i="4"/>
  <c r="BH128" i="4"/>
  <c r="AD128" i="4" s="1"/>
  <c r="BJ128" i="4"/>
  <c r="K131" i="4"/>
  <c r="K130" i="4" s="1"/>
  <c r="Z131" i="4"/>
  <c r="AD131" i="4"/>
  <c r="AE131" i="4"/>
  <c r="AF131" i="4"/>
  <c r="AG131" i="4"/>
  <c r="AH131" i="4"/>
  <c r="AJ131" i="4"/>
  <c r="AS130" i="4" s="1"/>
  <c r="AK131" i="4"/>
  <c r="AT130" i="4" s="1"/>
  <c r="AL131" i="4"/>
  <c r="AU130" i="4" s="1"/>
  <c r="AO131" i="4"/>
  <c r="I131" i="4" s="1"/>
  <c r="I130" i="4" s="1"/>
  <c r="AP131" i="4"/>
  <c r="AX131" i="4" s="1"/>
  <c r="AW131" i="4"/>
  <c r="J15" i="3" s="1"/>
  <c r="BD131" i="4"/>
  <c r="BF131" i="4"/>
  <c r="BI131" i="4"/>
  <c r="AC131" i="4" s="1"/>
  <c r="BJ131" i="4"/>
  <c r="K134" i="4"/>
  <c r="K133" i="4" s="1"/>
  <c r="Z134" i="4"/>
  <c r="AD134" i="4"/>
  <c r="AE134" i="4"/>
  <c r="AF134" i="4"/>
  <c r="AG134" i="4"/>
  <c r="AH134" i="4"/>
  <c r="AJ134" i="4"/>
  <c r="AS133" i="4" s="1"/>
  <c r="AK134" i="4"/>
  <c r="AT133" i="4" s="1"/>
  <c r="AL134" i="4"/>
  <c r="AU133" i="4" s="1"/>
  <c r="AO134" i="4"/>
  <c r="I134" i="4" s="1"/>
  <c r="I133" i="4" s="1"/>
  <c r="AP134" i="4"/>
  <c r="AX134" i="4" s="1"/>
  <c r="AW134" i="4"/>
  <c r="BD134" i="4"/>
  <c r="BF134" i="4"/>
  <c r="BH134" i="4"/>
  <c r="AB134" i="4" s="1"/>
  <c r="BJ134" i="4"/>
  <c r="K139" i="4"/>
  <c r="AL139" i="4" s="1"/>
  <c r="Z139" i="4"/>
  <c r="AD139" i="4"/>
  <c r="AE139" i="4"/>
  <c r="AF139" i="4"/>
  <c r="AG139" i="4"/>
  <c r="AH139" i="4"/>
  <c r="AJ139" i="4"/>
  <c r="AK139" i="4"/>
  <c r="AO139" i="4"/>
  <c r="I139" i="4" s="1"/>
  <c r="AP139" i="4"/>
  <c r="AX139" i="4" s="1"/>
  <c r="AW139" i="4"/>
  <c r="AV139" i="4" s="1"/>
  <c r="BD139" i="4"/>
  <c r="BF139" i="4"/>
  <c r="BI139" i="4"/>
  <c r="AC139" i="4" s="1"/>
  <c r="BJ139" i="4"/>
  <c r="K142" i="4"/>
  <c r="AL142" i="4" s="1"/>
  <c r="Z142" i="4"/>
  <c r="AD142" i="4"/>
  <c r="AE142" i="4"/>
  <c r="AF142" i="4"/>
  <c r="AG142" i="4"/>
  <c r="AH142" i="4"/>
  <c r="AJ142" i="4"/>
  <c r="AK142" i="4"/>
  <c r="AO142" i="4"/>
  <c r="I142" i="4" s="1"/>
  <c r="AP142" i="4"/>
  <c r="AX142" i="4" s="1"/>
  <c r="AW142" i="4"/>
  <c r="AV142" i="4" s="1"/>
  <c r="BD142" i="4"/>
  <c r="BF142" i="4"/>
  <c r="BI142" i="4"/>
  <c r="AC142" i="4" s="1"/>
  <c r="BJ142" i="4"/>
  <c r="K145" i="4"/>
  <c r="K144" i="4" s="1"/>
  <c r="AB145" i="4"/>
  <c r="AC145" i="4"/>
  <c r="AD145" i="4"/>
  <c r="AE145" i="4"/>
  <c r="AF145" i="4"/>
  <c r="AG145" i="4"/>
  <c r="AH145" i="4"/>
  <c r="AJ145" i="4"/>
  <c r="AS144" i="4" s="1"/>
  <c r="AK145" i="4"/>
  <c r="AT144" i="4" s="1"/>
  <c r="AO145" i="4"/>
  <c r="I145" i="4" s="1"/>
  <c r="I144" i="4" s="1"/>
  <c r="AP145" i="4"/>
  <c r="AX145" i="4" s="1"/>
  <c r="AW145" i="4"/>
  <c r="AV145" i="4" s="1"/>
  <c r="BD145" i="4"/>
  <c r="BF145" i="4"/>
  <c r="BI145" i="4"/>
  <c r="BJ145" i="4"/>
  <c r="Z145" i="4" s="1"/>
  <c r="K148" i="4"/>
  <c r="K147" i="4" s="1"/>
  <c r="AB148" i="4"/>
  <c r="AC148" i="4"/>
  <c r="AD148" i="4"/>
  <c r="AE148" i="4"/>
  <c r="AF148" i="4"/>
  <c r="AG148" i="4"/>
  <c r="AH148" i="4"/>
  <c r="AJ148" i="4"/>
  <c r="AS147" i="4" s="1"/>
  <c r="AK148" i="4"/>
  <c r="AT147" i="4" s="1"/>
  <c r="AL148" i="4"/>
  <c r="AU147" i="4" s="1"/>
  <c r="AO148" i="4"/>
  <c r="I148" i="4" s="1"/>
  <c r="I147" i="4" s="1"/>
  <c r="AP148" i="4"/>
  <c r="AX148" i="4" s="1"/>
  <c r="BC148" i="4" s="1"/>
  <c r="AW148" i="4"/>
  <c r="BD148" i="4"/>
  <c r="BF148" i="4"/>
  <c r="BH148" i="4"/>
  <c r="BJ148" i="4"/>
  <c r="Z148" i="4" s="1"/>
  <c r="K151" i="4"/>
  <c r="K150" i="4" s="1"/>
  <c r="AB151" i="4"/>
  <c r="AC151" i="4"/>
  <c r="AD151" i="4"/>
  <c r="AE151" i="4"/>
  <c r="AF151" i="4"/>
  <c r="AG151" i="4"/>
  <c r="AH151" i="4"/>
  <c r="AJ151" i="4"/>
  <c r="AS150" i="4" s="1"/>
  <c r="AK151" i="4"/>
  <c r="AT150" i="4" s="1"/>
  <c r="AL151" i="4"/>
  <c r="AU150" i="4" s="1"/>
  <c r="AO151" i="4"/>
  <c r="I151" i="4" s="1"/>
  <c r="I150" i="4" s="1"/>
  <c r="AP151" i="4"/>
  <c r="AX151" i="4" s="1"/>
  <c r="BC151" i="4" s="1"/>
  <c r="AW151" i="4"/>
  <c r="BD151" i="4"/>
  <c r="BF151" i="4"/>
  <c r="BH151" i="4"/>
  <c r="BJ151" i="4"/>
  <c r="Z151" i="4" s="1"/>
  <c r="K154" i="4"/>
  <c r="AB154" i="4"/>
  <c r="AC154" i="4"/>
  <c r="AD154" i="4"/>
  <c r="AE154" i="4"/>
  <c r="AF154" i="4"/>
  <c r="AG154" i="4"/>
  <c r="AH154" i="4"/>
  <c r="AJ154" i="4"/>
  <c r="AK154" i="4"/>
  <c r="AL154" i="4"/>
  <c r="AO154" i="4"/>
  <c r="I154" i="4" s="1"/>
  <c r="AP154" i="4"/>
  <c r="J154" i="4" s="1"/>
  <c r="AW154" i="4"/>
  <c r="BD154" i="4"/>
  <c r="BF154" i="4"/>
  <c r="BH154" i="4"/>
  <c r="BJ154" i="4"/>
  <c r="Z154" i="4" s="1"/>
  <c r="K157" i="4"/>
  <c r="AB157" i="4"/>
  <c r="AC157" i="4"/>
  <c r="AD157" i="4"/>
  <c r="AE157" i="4"/>
  <c r="AF157" i="4"/>
  <c r="AG157" i="4"/>
  <c r="AH157" i="4"/>
  <c r="AJ157" i="4"/>
  <c r="AK157" i="4"/>
  <c r="AL157" i="4"/>
  <c r="AO157" i="4"/>
  <c r="I157" i="4" s="1"/>
  <c r="AP157" i="4"/>
  <c r="AX157" i="4" s="1"/>
  <c r="BC157" i="4" s="1"/>
  <c r="AW157" i="4"/>
  <c r="BD157" i="4"/>
  <c r="BF157" i="4"/>
  <c r="BH157" i="4"/>
  <c r="BJ157" i="4"/>
  <c r="Z157" i="4" s="1"/>
  <c r="K160" i="4"/>
  <c r="AL160" i="4" s="1"/>
  <c r="Z160" i="4"/>
  <c r="AB160" i="4"/>
  <c r="AC160" i="4"/>
  <c r="AD160" i="4"/>
  <c r="AE160" i="4"/>
  <c r="AF160" i="4"/>
  <c r="AG160" i="4"/>
  <c r="AJ160" i="4"/>
  <c r="AK160" i="4"/>
  <c r="AO160" i="4"/>
  <c r="AW160" i="4" s="1"/>
  <c r="AP160" i="4"/>
  <c r="J160" i="4" s="1"/>
  <c r="BD160" i="4"/>
  <c r="BF160" i="4"/>
  <c r="BH160" i="4"/>
  <c r="BJ160" i="4"/>
  <c r="AH160" i="4" s="1"/>
  <c r="K164" i="4"/>
  <c r="Z164" i="4"/>
  <c r="AB164" i="4"/>
  <c r="AC164" i="4"/>
  <c r="AD164" i="4"/>
  <c r="AE164" i="4"/>
  <c r="AF164" i="4"/>
  <c r="AG164" i="4"/>
  <c r="AJ164" i="4"/>
  <c r="AK164" i="4"/>
  <c r="AL164" i="4"/>
  <c r="AO164" i="4"/>
  <c r="I164" i="4" s="1"/>
  <c r="AP164" i="4"/>
  <c r="AX164" i="4" s="1"/>
  <c r="AW164" i="4"/>
  <c r="AV164" i="4" s="1"/>
  <c r="BD164" i="4"/>
  <c r="BF164" i="4"/>
  <c r="BI164" i="4"/>
  <c r="BJ164" i="4"/>
  <c r="AH164" i="4" s="1"/>
  <c r="K169" i="4"/>
  <c r="K168" i="4" s="1"/>
  <c r="Z169" i="4"/>
  <c r="AD169" i="4"/>
  <c r="AE169" i="4"/>
  <c r="AF169" i="4"/>
  <c r="AG169" i="4"/>
  <c r="AH169" i="4"/>
  <c r="AJ169" i="4"/>
  <c r="AS168" i="4" s="1"/>
  <c r="AK169" i="4"/>
  <c r="AT168" i="4" s="1"/>
  <c r="AO169" i="4"/>
  <c r="I169" i="4" s="1"/>
  <c r="I168" i="4" s="1"/>
  <c r="AP169" i="4"/>
  <c r="AX169" i="4" s="1"/>
  <c r="AW169" i="4"/>
  <c r="BD169" i="4"/>
  <c r="BF169" i="4"/>
  <c r="BI169" i="4"/>
  <c r="AC169" i="4" s="1"/>
  <c r="BJ169" i="4"/>
  <c r="K173" i="4"/>
  <c r="AL173" i="4" s="1"/>
  <c r="AU172" i="4" s="1"/>
  <c r="Z173" i="4"/>
  <c r="AB173" i="4"/>
  <c r="AC173" i="4"/>
  <c r="AF173" i="4"/>
  <c r="AG173" i="4"/>
  <c r="AH173" i="4"/>
  <c r="AJ173" i="4"/>
  <c r="AS172" i="4" s="1"/>
  <c r="AK173" i="4"/>
  <c r="AT172" i="4" s="1"/>
  <c r="AO173" i="4"/>
  <c r="AW173" i="4" s="1"/>
  <c r="AP173" i="4"/>
  <c r="J173" i="4" s="1"/>
  <c r="J172" i="4" s="1"/>
  <c r="BD173" i="4"/>
  <c r="BF173" i="4"/>
  <c r="BI173" i="4"/>
  <c r="AE173" i="4" s="1"/>
  <c r="BJ173" i="4"/>
  <c r="K178" i="4"/>
  <c r="AL178" i="4" s="1"/>
  <c r="Z178" i="4"/>
  <c r="AB178" i="4"/>
  <c r="AC178" i="4"/>
  <c r="AF178" i="4"/>
  <c r="AG178" i="4"/>
  <c r="AH178" i="4"/>
  <c r="AJ178" i="4"/>
  <c r="AK178" i="4"/>
  <c r="AO178" i="4"/>
  <c r="AW178" i="4" s="1"/>
  <c r="AP178" i="4"/>
  <c r="J178" i="4" s="1"/>
  <c r="BD178" i="4"/>
  <c r="BF178" i="4"/>
  <c r="BI178" i="4"/>
  <c r="AE178" i="4" s="1"/>
  <c r="BJ178" i="4"/>
  <c r="K181" i="4"/>
  <c r="Z181" i="4"/>
  <c r="AB181" i="4"/>
  <c r="AC181" i="4"/>
  <c r="AF181" i="4"/>
  <c r="AG181" i="4"/>
  <c r="AH181" i="4"/>
  <c r="AJ181" i="4"/>
  <c r="AK181" i="4"/>
  <c r="AL181" i="4"/>
  <c r="AO181" i="4"/>
  <c r="I181" i="4" s="1"/>
  <c r="AP181" i="4"/>
  <c r="AX181" i="4" s="1"/>
  <c r="BC181" i="4" s="1"/>
  <c r="AW181" i="4"/>
  <c r="BD181" i="4"/>
  <c r="BF181" i="4"/>
  <c r="BH181" i="4"/>
  <c r="AD181" i="4" s="1"/>
  <c r="BJ181" i="4"/>
  <c r="K183" i="4"/>
  <c r="AL183" i="4" s="1"/>
  <c r="Z183" i="4"/>
  <c r="AB183" i="4"/>
  <c r="AC183" i="4"/>
  <c r="AF183" i="4"/>
  <c r="AG183" i="4"/>
  <c r="AH183" i="4"/>
  <c r="AJ183" i="4"/>
  <c r="AK183" i="4"/>
  <c r="AO183" i="4"/>
  <c r="I183" i="4" s="1"/>
  <c r="AP183" i="4"/>
  <c r="AX183" i="4" s="1"/>
  <c r="AW183" i="4"/>
  <c r="AV183" i="4" s="1"/>
  <c r="BD183" i="4"/>
  <c r="BF183" i="4"/>
  <c r="BI183" i="4"/>
  <c r="AE183" i="4" s="1"/>
  <c r="BJ183" i="4"/>
  <c r="K185" i="4"/>
  <c r="AL185" i="4" s="1"/>
  <c r="Z185" i="4"/>
  <c r="AB185" i="4"/>
  <c r="AC185" i="4"/>
  <c r="AF185" i="4"/>
  <c r="AG185" i="4"/>
  <c r="AH185" i="4"/>
  <c r="AJ185" i="4"/>
  <c r="AK185" i="4"/>
  <c r="AO185" i="4"/>
  <c r="I185" i="4" s="1"/>
  <c r="AP185" i="4"/>
  <c r="J185" i="4" s="1"/>
  <c r="AW185" i="4"/>
  <c r="BD185" i="4"/>
  <c r="BF185" i="4"/>
  <c r="BI185" i="4"/>
  <c r="AE185" i="4" s="1"/>
  <c r="BJ185" i="4"/>
  <c r="K187" i="4"/>
  <c r="AL187" i="4" s="1"/>
  <c r="Z187" i="4"/>
  <c r="AB187" i="4"/>
  <c r="AC187" i="4"/>
  <c r="AF187" i="4"/>
  <c r="AG187" i="4"/>
  <c r="AH187" i="4"/>
  <c r="AJ187" i="4"/>
  <c r="AK187" i="4"/>
  <c r="AO187" i="4"/>
  <c r="I187" i="4" s="1"/>
  <c r="AP187" i="4"/>
  <c r="AX187" i="4" s="1"/>
  <c r="AW187" i="4"/>
  <c r="AV187" i="4" s="1"/>
  <c r="BD187" i="4"/>
  <c r="BF187" i="4"/>
  <c r="BI187" i="4"/>
  <c r="AE187" i="4" s="1"/>
  <c r="BJ187" i="4"/>
  <c r="K190" i="4"/>
  <c r="AL190" i="4" s="1"/>
  <c r="Z190" i="4"/>
  <c r="AB190" i="4"/>
  <c r="AC190" i="4"/>
  <c r="AF190" i="4"/>
  <c r="AG190" i="4"/>
  <c r="AH190" i="4"/>
  <c r="AJ190" i="4"/>
  <c r="AK190" i="4"/>
  <c r="AO190" i="4"/>
  <c r="I190" i="4" s="1"/>
  <c r="AP190" i="4"/>
  <c r="AX190" i="4" s="1"/>
  <c r="AW190" i="4"/>
  <c r="AV190" i="4" s="1"/>
  <c r="BD190" i="4"/>
  <c r="BF190" i="4"/>
  <c r="BI190" i="4"/>
  <c r="AE190" i="4" s="1"/>
  <c r="BJ190" i="4"/>
  <c r="K192" i="4"/>
  <c r="AL192" i="4" s="1"/>
  <c r="Z192" i="4"/>
  <c r="AB192" i="4"/>
  <c r="AC192" i="4"/>
  <c r="AF192" i="4"/>
  <c r="AG192" i="4"/>
  <c r="AH192" i="4"/>
  <c r="AJ192" i="4"/>
  <c r="AK192" i="4"/>
  <c r="AO192" i="4"/>
  <c r="AW192" i="4" s="1"/>
  <c r="AP192" i="4"/>
  <c r="J192" i="4" s="1"/>
  <c r="BD192" i="4"/>
  <c r="BF192" i="4"/>
  <c r="BH192" i="4"/>
  <c r="AD192" i="4" s="1"/>
  <c r="BJ192" i="4"/>
  <c r="K195" i="4"/>
  <c r="Z195" i="4"/>
  <c r="AB195" i="4"/>
  <c r="AC195" i="4"/>
  <c r="AF195" i="4"/>
  <c r="AG195" i="4"/>
  <c r="AH195" i="4"/>
  <c r="AJ195" i="4"/>
  <c r="AK195" i="4"/>
  <c r="AL195" i="4"/>
  <c r="AO195" i="4"/>
  <c r="I195" i="4" s="1"/>
  <c r="AP195" i="4"/>
  <c r="AX195" i="4" s="1"/>
  <c r="BC195" i="4" s="1"/>
  <c r="AW195" i="4"/>
  <c r="BD195" i="4"/>
  <c r="BF195" i="4"/>
  <c r="BH195" i="4"/>
  <c r="AD195" i="4" s="1"/>
  <c r="BJ195" i="4"/>
  <c r="K197" i="4"/>
  <c r="AL197" i="4" s="1"/>
  <c r="Z197" i="4"/>
  <c r="AB197" i="4"/>
  <c r="AC197" i="4"/>
  <c r="AF197" i="4"/>
  <c r="AG197" i="4"/>
  <c r="AH197" i="4"/>
  <c r="AJ197" i="4"/>
  <c r="AK197" i="4"/>
  <c r="AO197" i="4"/>
  <c r="AW197" i="4" s="1"/>
  <c r="AP197" i="4"/>
  <c r="J197" i="4" s="1"/>
  <c r="BD197" i="4"/>
  <c r="BF197" i="4"/>
  <c r="BH197" i="4"/>
  <c r="AD197" i="4" s="1"/>
  <c r="BJ197" i="4"/>
  <c r="K200" i="4"/>
  <c r="Z200" i="4"/>
  <c r="AB200" i="4"/>
  <c r="AC200" i="4"/>
  <c r="AF200" i="4"/>
  <c r="AG200" i="4"/>
  <c r="AH200" i="4"/>
  <c r="AJ200" i="4"/>
  <c r="AK200" i="4"/>
  <c r="AL200" i="4"/>
  <c r="AO200" i="4"/>
  <c r="I200" i="4" s="1"/>
  <c r="AP200" i="4"/>
  <c r="AX200" i="4" s="1"/>
  <c r="BC200" i="4" s="1"/>
  <c r="AW200" i="4"/>
  <c r="BD200" i="4"/>
  <c r="BF200" i="4"/>
  <c r="BH200" i="4"/>
  <c r="AD200" i="4" s="1"/>
  <c r="BJ200" i="4"/>
  <c r="K202" i="4"/>
  <c r="AL202" i="4" s="1"/>
  <c r="Z202" i="4"/>
  <c r="AB202" i="4"/>
  <c r="AC202" i="4"/>
  <c r="AF202" i="4"/>
  <c r="AG202" i="4"/>
  <c r="AH202" i="4"/>
  <c r="AJ202" i="4"/>
  <c r="AK202" i="4"/>
  <c r="AO202" i="4"/>
  <c r="I202" i="4" s="1"/>
  <c r="AP202" i="4"/>
  <c r="AX202" i="4" s="1"/>
  <c r="AW202" i="4"/>
  <c r="AV202" i="4" s="1"/>
  <c r="BD202" i="4"/>
  <c r="BF202" i="4"/>
  <c r="BI202" i="4"/>
  <c r="AE202" i="4" s="1"/>
  <c r="BJ202" i="4"/>
  <c r="K204" i="4"/>
  <c r="AL204" i="4" s="1"/>
  <c r="Z204" i="4"/>
  <c r="AB204" i="4"/>
  <c r="AC204" i="4"/>
  <c r="AF204" i="4"/>
  <c r="AG204" i="4"/>
  <c r="AH204" i="4"/>
  <c r="AJ204" i="4"/>
  <c r="AK204" i="4"/>
  <c r="AO204" i="4"/>
  <c r="I204" i="4" s="1"/>
  <c r="AP204" i="4"/>
  <c r="J204" i="4" s="1"/>
  <c r="AW204" i="4"/>
  <c r="BD204" i="4"/>
  <c r="BF204" i="4"/>
  <c r="BI204" i="4"/>
  <c r="AE204" i="4" s="1"/>
  <c r="BJ204" i="4"/>
  <c r="K207" i="4"/>
  <c r="AL207" i="4" s="1"/>
  <c r="Z207" i="4"/>
  <c r="AB207" i="4"/>
  <c r="AC207" i="4"/>
  <c r="AF207" i="4"/>
  <c r="AG207" i="4"/>
  <c r="AH207" i="4"/>
  <c r="AJ207" i="4"/>
  <c r="AK207" i="4"/>
  <c r="AO207" i="4"/>
  <c r="I207" i="4" s="1"/>
  <c r="AP207" i="4"/>
  <c r="J207" i="4" s="1"/>
  <c r="AW207" i="4"/>
  <c r="BD207" i="4"/>
  <c r="BF207" i="4"/>
  <c r="BI207" i="4"/>
  <c r="AE207" i="4" s="1"/>
  <c r="BJ207" i="4"/>
  <c r="K209" i="4"/>
  <c r="AL209" i="4" s="1"/>
  <c r="Z209" i="4"/>
  <c r="AB209" i="4"/>
  <c r="AC209" i="4"/>
  <c r="AF209" i="4"/>
  <c r="AG209" i="4"/>
  <c r="AH209" i="4"/>
  <c r="AJ209" i="4"/>
  <c r="AK209" i="4"/>
  <c r="AO209" i="4"/>
  <c r="I209" i="4" s="1"/>
  <c r="AP209" i="4"/>
  <c r="J209" i="4" s="1"/>
  <c r="AW209" i="4"/>
  <c r="BD209" i="4"/>
  <c r="BF209" i="4"/>
  <c r="BI209" i="4"/>
  <c r="AE209" i="4" s="1"/>
  <c r="BJ209" i="4"/>
  <c r="K212" i="4"/>
  <c r="Z212" i="4"/>
  <c r="AD212" i="4"/>
  <c r="AE212" i="4"/>
  <c r="AF212" i="4"/>
  <c r="AG212" i="4"/>
  <c r="AH212" i="4"/>
  <c r="AJ212" i="4"/>
  <c r="AK212" i="4"/>
  <c r="AL212" i="4"/>
  <c r="AO212" i="4"/>
  <c r="I212" i="4" s="1"/>
  <c r="AP212" i="4"/>
  <c r="AX212" i="4" s="1"/>
  <c r="AW212" i="4"/>
  <c r="BD212" i="4"/>
  <c r="BF212" i="4"/>
  <c r="BI212" i="4"/>
  <c r="AC212" i="4" s="1"/>
  <c r="BJ212" i="4"/>
  <c r="K215" i="4"/>
  <c r="AL215" i="4" s="1"/>
  <c r="Z215" i="4"/>
  <c r="AD215" i="4"/>
  <c r="AE215" i="4"/>
  <c r="AF215" i="4"/>
  <c r="AG215" i="4"/>
  <c r="AH215" i="4"/>
  <c r="AJ215" i="4"/>
  <c r="AK215" i="4"/>
  <c r="AO215" i="4"/>
  <c r="I215" i="4" s="1"/>
  <c r="AP215" i="4"/>
  <c r="J215" i="4" s="1"/>
  <c r="AX215" i="4"/>
  <c r="BD215" i="4"/>
  <c r="BF215" i="4"/>
  <c r="BH215" i="4"/>
  <c r="AB215" i="4" s="1"/>
  <c r="BI215" i="4"/>
  <c r="AC215" i="4" s="1"/>
  <c r="BJ215" i="4"/>
  <c r="K218" i="4"/>
  <c r="AL218" i="4" s="1"/>
  <c r="AU217" i="4" s="1"/>
  <c r="AB218" i="4"/>
  <c r="AC218" i="4"/>
  <c r="AD218" i="4"/>
  <c r="AE218" i="4"/>
  <c r="AF218" i="4"/>
  <c r="AG218" i="4"/>
  <c r="AH218" i="4"/>
  <c r="AJ218" i="4"/>
  <c r="AS217" i="4" s="1"/>
  <c r="AK218" i="4"/>
  <c r="AT217" i="4" s="1"/>
  <c r="AO218" i="4"/>
  <c r="AW218" i="4" s="1"/>
  <c r="AP218" i="4"/>
  <c r="J218" i="4" s="1"/>
  <c r="J217" i="4" s="1"/>
  <c r="AX218" i="4"/>
  <c r="BD218" i="4"/>
  <c r="BF218" i="4"/>
  <c r="BI218" i="4"/>
  <c r="BJ218" i="4"/>
  <c r="Z218" i="4" s="1"/>
  <c r="K221" i="4"/>
  <c r="AL221" i="4" s="1"/>
  <c r="AU220" i="4" s="1"/>
  <c r="AB221" i="4"/>
  <c r="AC221" i="4"/>
  <c r="AD221" i="4"/>
  <c r="AE221" i="4"/>
  <c r="AF221" i="4"/>
  <c r="AG221" i="4"/>
  <c r="AH221" i="4"/>
  <c r="AJ221" i="4"/>
  <c r="AS220" i="4" s="1"/>
  <c r="AK221" i="4"/>
  <c r="AT220" i="4" s="1"/>
  <c r="AO221" i="4"/>
  <c r="AW221" i="4" s="1"/>
  <c r="AP221" i="4"/>
  <c r="J221" i="4" s="1"/>
  <c r="J220" i="4" s="1"/>
  <c r="BD221" i="4"/>
  <c r="BF221" i="4"/>
  <c r="BH221" i="4"/>
  <c r="BJ221" i="4"/>
  <c r="Z221" i="4" s="1"/>
  <c r="K224" i="4"/>
  <c r="AL224" i="4" s="1"/>
  <c r="AU223" i="4" s="1"/>
  <c r="AB224" i="4"/>
  <c r="AC224" i="4"/>
  <c r="AD224" i="4"/>
  <c r="AE224" i="4"/>
  <c r="AF224" i="4"/>
  <c r="AG224" i="4"/>
  <c r="AH224" i="4"/>
  <c r="AJ224" i="4"/>
  <c r="AS223" i="4" s="1"/>
  <c r="AK224" i="4"/>
  <c r="AT223" i="4" s="1"/>
  <c r="AO224" i="4"/>
  <c r="AW224" i="4" s="1"/>
  <c r="AP224" i="4"/>
  <c r="J224" i="4" s="1"/>
  <c r="J223" i="4" s="1"/>
  <c r="BD224" i="4"/>
  <c r="BF224" i="4"/>
  <c r="BH224" i="4"/>
  <c r="BJ224" i="4"/>
  <c r="Z224" i="4" s="1"/>
  <c r="K227" i="4"/>
  <c r="AB227" i="4"/>
  <c r="AC227" i="4"/>
  <c r="AD227" i="4"/>
  <c r="AE227" i="4"/>
  <c r="AF227" i="4"/>
  <c r="AG227" i="4"/>
  <c r="AH227" i="4"/>
  <c r="AJ227" i="4"/>
  <c r="AK227" i="4"/>
  <c r="AL227" i="4"/>
  <c r="AO227" i="4"/>
  <c r="I227" i="4" s="1"/>
  <c r="AP227" i="4"/>
  <c r="AX227" i="4" s="1"/>
  <c r="BC227" i="4" s="1"/>
  <c r="AW227" i="4"/>
  <c r="BD227" i="4"/>
  <c r="BF227" i="4"/>
  <c r="BH227" i="4"/>
  <c r="BJ227" i="4"/>
  <c r="Z227" i="4" s="1"/>
  <c r="K230" i="4"/>
  <c r="AB230" i="4"/>
  <c r="AC230" i="4"/>
  <c r="AD230" i="4"/>
  <c r="AE230" i="4"/>
  <c r="AF230" i="4"/>
  <c r="AG230" i="4"/>
  <c r="AH230" i="4"/>
  <c r="AJ230" i="4"/>
  <c r="AK230" i="4"/>
  <c r="AL230" i="4"/>
  <c r="AO230" i="4"/>
  <c r="I230" i="4" s="1"/>
  <c r="AP230" i="4"/>
  <c r="AX230" i="4" s="1"/>
  <c r="BC230" i="4" s="1"/>
  <c r="AW230" i="4"/>
  <c r="BD230" i="4"/>
  <c r="BF230" i="4"/>
  <c r="BH230" i="4"/>
  <c r="BJ230" i="4"/>
  <c r="Z230" i="4" s="1"/>
  <c r="K233" i="4"/>
  <c r="Z233" i="4"/>
  <c r="AB233" i="4"/>
  <c r="AC233" i="4"/>
  <c r="AD233" i="4"/>
  <c r="AE233" i="4"/>
  <c r="AF233" i="4"/>
  <c r="AG233" i="4"/>
  <c r="AJ233" i="4"/>
  <c r="AK233" i="4"/>
  <c r="AL233" i="4"/>
  <c r="AO233" i="4"/>
  <c r="I233" i="4" s="1"/>
  <c r="AP233" i="4"/>
  <c r="AX233" i="4" s="1"/>
  <c r="AW233" i="4"/>
  <c r="BD233" i="4"/>
  <c r="BF233" i="4"/>
  <c r="BI233" i="4"/>
  <c r="BJ233" i="4"/>
  <c r="AH233" i="4" s="1"/>
  <c r="K236" i="4"/>
  <c r="Z236" i="4"/>
  <c r="AB236" i="4"/>
  <c r="AC236" i="4"/>
  <c r="AD236" i="4"/>
  <c r="AE236" i="4"/>
  <c r="AF236" i="4"/>
  <c r="AG236" i="4"/>
  <c r="AJ236" i="4"/>
  <c r="AK236" i="4"/>
  <c r="AL236" i="4"/>
  <c r="AO236" i="4"/>
  <c r="I236" i="4" s="1"/>
  <c r="AP236" i="4"/>
  <c r="AX236" i="4" s="1"/>
  <c r="AW236" i="4"/>
  <c r="AV236" i="4" s="1"/>
  <c r="BD236" i="4"/>
  <c r="BF236" i="4"/>
  <c r="BH236" i="4"/>
  <c r="BI236" i="4"/>
  <c r="BJ236" i="4"/>
  <c r="AH236" i="4" s="1"/>
  <c r="BH209" i="4" l="1"/>
  <c r="AD209" i="4" s="1"/>
  <c r="BH207" i="4"/>
  <c r="AD207" i="4" s="1"/>
  <c r="BH204" i="4"/>
  <c r="AD204" i="4" s="1"/>
  <c r="BH202" i="4"/>
  <c r="AD202" i="4" s="1"/>
  <c r="BC202" i="4"/>
  <c r="BI200" i="4"/>
  <c r="AE200" i="4" s="1"/>
  <c r="AV200" i="4"/>
  <c r="BI197" i="4"/>
  <c r="AE197" i="4" s="1"/>
  <c r="AX197" i="4"/>
  <c r="AV197" i="4" s="1"/>
  <c r="BI195" i="4"/>
  <c r="AE195" i="4" s="1"/>
  <c r="AV195" i="4"/>
  <c r="BI192" i="4"/>
  <c r="AE192" i="4" s="1"/>
  <c r="AX192" i="4"/>
  <c r="AV192" i="4" s="1"/>
  <c r="BH190" i="4"/>
  <c r="AD190" i="4" s="1"/>
  <c r="BC190" i="4"/>
  <c r="BH187" i="4"/>
  <c r="AD187" i="4" s="1"/>
  <c r="BC187" i="4"/>
  <c r="BH185" i="4"/>
  <c r="AD185" i="4" s="1"/>
  <c r="BH183" i="4"/>
  <c r="AD183" i="4" s="1"/>
  <c r="BC183" i="4"/>
  <c r="BI181" i="4"/>
  <c r="AE181" i="4" s="1"/>
  <c r="AV181" i="4"/>
  <c r="AX178" i="4"/>
  <c r="AX173" i="4"/>
  <c r="K20" i="3" s="1"/>
  <c r="K172" i="4"/>
  <c r="AT159" i="4"/>
  <c r="BH164" i="4"/>
  <c r="BC164" i="4"/>
  <c r="BI160" i="4"/>
  <c r="AX160" i="4"/>
  <c r="K17" i="3" s="1"/>
  <c r="BI157" i="4"/>
  <c r="AV157" i="4"/>
  <c r="BI154" i="4"/>
  <c r="BI151" i="4"/>
  <c r="AV151" i="4"/>
  <c r="BI148" i="4"/>
  <c r="AV148" i="4"/>
  <c r="BH145" i="4"/>
  <c r="BC145" i="4"/>
  <c r="AL145" i="4"/>
  <c r="AU144" i="4" s="1"/>
  <c r="BH142" i="4"/>
  <c r="AB142" i="4" s="1"/>
  <c r="BH139" i="4"/>
  <c r="AB139" i="4" s="1"/>
  <c r="BI134" i="4"/>
  <c r="AC134" i="4" s="1"/>
  <c r="BH131" i="4"/>
  <c r="AB131" i="4" s="1"/>
  <c r="BI128" i="4"/>
  <c r="AE128" i="4" s="1"/>
  <c r="AX128" i="4"/>
  <c r="BI126" i="4"/>
  <c r="AE126" i="4" s="1"/>
  <c r="AX126" i="4"/>
  <c r="BC126" i="4" s="1"/>
  <c r="BH106" i="4"/>
  <c r="AD106" i="4" s="1"/>
  <c r="BC102" i="4"/>
  <c r="BH87" i="4"/>
  <c r="AD87" i="4" s="1"/>
  <c r="BC61" i="4"/>
  <c r="BI56" i="4"/>
  <c r="AE56" i="4" s="1"/>
  <c r="AX56" i="4"/>
  <c r="BC56" i="4" s="1"/>
  <c r="BI53" i="4"/>
  <c r="AE53" i="4" s="1"/>
  <c r="AX53" i="4"/>
  <c r="BC53" i="4" s="1"/>
  <c r="BI39" i="4"/>
  <c r="AE39" i="4" s="1"/>
  <c r="AX39" i="4"/>
  <c r="BI37" i="4"/>
  <c r="AE37" i="4" s="1"/>
  <c r="AX37" i="4"/>
  <c r="AV37" i="4" s="1"/>
  <c r="AV35" i="4"/>
  <c r="BI25" i="4"/>
  <c r="AE25" i="4" s="1"/>
  <c r="AX25" i="4"/>
  <c r="AV25" i="4" s="1"/>
  <c r="AS17" i="4"/>
  <c r="BI22" i="4"/>
  <c r="AC22" i="4" s="1"/>
  <c r="AX22" i="4"/>
  <c r="BC236" i="4"/>
  <c r="BH233" i="4"/>
  <c r="BI230" i="4"/>
  <c r="BI227" i="4"/>
  <c r="BH212" i="4"/>
  <c r="AB212" i="4" s="1"/>
  <c r="K23" i="3"/>
  <c r="AU232" i="4"/>
  <c r="AS232" i="4"/>
  <c r="K232" i="4"/>
  <c r="J236" i="4"/>
  <c r="I232" i="4"/>
  <c r="AT232" i="4"/>
  <c r="AV233" i="4"/>
  <c r="L23" i="3" s="1"/>
  <c r="N23" i="3" s="1"/>
  <c r="BC233" i="4"/>
  <c r="J23" i="3"/>
  <c r="J233" i="4"/>
  <c r="J232" i="4" s="1"/>
  <c r="AV230" i="4"/>
  <c r="AS226" i="4"/>
  <c r="J230" i="4"/>
  <c r="AU226" i="4"/>
  <c r="I226" i="4"/>
  <c r="AT226" i="4"/>
  <c r="K226" i="4"/>
  <c r="AV227" i="4"/>
  <c r="J227" i="4"/>
  <c r="J226" i="4" s="1"/>
  <c r="BI224" i="4"/>
  <c r="AX224" i="4"/>
  <c r="AV224" i="4" s="1"/>
  <c r="BI221" i="4"/>
  <c r="AX221" i="4"/>
  <c r="AV221" i="4" s="1"/>
  <c r="BH218" i="4"/>
  <c r="BC224" i="4"/>
  <c r="I224" i="4"/>
  <c r="I223" i="4" s="1"/>
  <c r="K223" i="4"/>
  <c r="BC221" i="4"/>
  <c r="K220" i="4"/>
  <c r="I221" i="4"/>
  <c r="I220" i="4" s="1"/>
  <c r="BC218" i="4"/>
  <c r="AV218" i="4"/>
  <c r="K217" i="4"/>
  <c r="I218" i="4"/>
  <c r="I217" i="4" s="1"/>
  <c r="AW215" i="4"/>
  <c r="AU211" i="4"/>
  <c r="AS211" i="4"/>
  <c r="I211" i="4"/>
  <c r="AT211" i="4"/>
  <c r="K211" i="4"/>
  <c r="BC212" i="4"/>
  <c r="J212" i="4"/>
  <c r="J211" i="4" s="1"/>
  <c r="AV212" i="4"/>
  <c r="AX209" i="4"/>
  <c r="BC209" i="4" s="1"/>
  <c r="AV207" i="4"/>
  <c r="AX207" i="4"/>
  <c r="BC207" i="4" s="1"/>
  <c r="AX204" i="4"/>
  <c r="BC204" i="4" s="1"/>
  <c r="J202" i="4"/>
  <c r="AU199" i="4"/>
  <c r="AS199" i="4"/>
  <c r="I199" i="4"/>
  <c r="AT199" i="4"/>
  <c r="K199" i="4"/>
  <c r="J200" i="4"/>
  <c r="J199" i="4" s="1"/>
  <c r="BC197" i="4"/>
  <c r="I197" i="4"/>
  <c r="J195" i="4"/>
  <c r="BC192" i="4"/>
  <c r="I192" i="4"/>
  <c r="AT189" i="4"/>
  <c r="K189" i="4"/>
  <c r="AU189" i="4"/>
  <c r="AS189" i="4"/>
  <c r="J190" i="4"/>
  <c r="J189" i="4" s="1"/>
  <c r="J187" i="4"/>
  <c r="AV185" i="4"/>
  <c r="AX185" i="4"/>
  <c r="BC185" i="4" s="1"/>
  <c r="J183" i="4"/>
  <c r="J181" i="4"/>
  <c r="AS177" i="4"/>
  <c r="AT177" i="4"/>
  <c r="AU177" i="4"/>
  <c r="BH178" i="4"/>
  <c r="AD178" i="4" s="1"/>
  <c r="BH173" i="4"/>
  <c r="AD173" i="4" s="1"/>
  <c r="BH169" i="4"/>
  <c r="AB169" i="4" s="1"/>
  <c r="AL169" i="4"/>
  <c r="AU168" i="4" s="1"/>
  <c r="BC178" i="4"/>
  <c r="J21" i="3"/>
  <c r="AV178" i="4"/>
  <c r="I178" i="4"/>
  <c r="I177" i="4" s="1"/>
  <c r="K177" i="4"/>
  <c r="J20" i="3"/>
  <c r="AV173" i="4"/>
  <c r="L20" i="3" s="1"/>
  <c r="N20" i="3" s="1"/>
  <c r="BC173" i="4"/>
  <c r="I173" i="4"/>
  <c r="I172" i="4" s="1"/>
  <c r="K19" i="3"/>
  <c r="BC169" i="4"/>
  <c r="AV169" i="4"/>
  <c r="L19" i="3" s="1"/>
  <c r="N19" i="3" s="1"/>
  <c r="J169" i="4"/>
  <c r="J168" i="4" s="1"/>
  <c r="J19" i="3"/>
  <c r="J164" i="4"/>
  <c r="J159" i="4" s="1"/>
  <c r="AS159" i="4"/>
  <c r="AU159" i="4"/>
  <c r="BC160" i="4"/>
  <c r="J17" i="3"/>
  <c r="AV160" i="4"/>
  <c r="L17" i="3" s="1"/>
  <c r="N17" i="3" s="1"/>
  <c r="I160" i="4"/>
  <c r="I159" i="4" s="1"/>
  <c r="K159" i="4"/>
  <c r="J157" i="4"/>
  <c r="J153" i="4" s="1"/>
  <c r="AU153" i="4"/>
  <c r="AS153" i="4"/>
  <c r="I153" i="4"/>
  <c r="AT153" i="4"/>
  <c r="K153" i="4"/>
  <c r="AV154" i="4"/>
  <c r="AX154" i="4"/>
  <c r="BC154" i="4" s="1"/>
  <c r="J151" i="4"/>
  <c r="J150" i="4" s="1"/>
  <c r="J148" i="4"/>
  <c r="J147" i="4" s="1"/>
  <c r="J145" i="4"/>
  <c r="J144" i="4" s="1"/>
  <c r="BC142" i="4"/>
  <c r="J142" i="4"/>
  <c r="AU138" i="4"/>
  <c r="AS138" i="4"/>
  <c r="I138" i="4"/>
  <c r="AT138" i="4"/>
  <c r="K138" i="4"/>
  <c r="BC139" i="4"/>
  <c r="J139" i="4"/>
  <c r="J16" i="3"/>
  <c r="BC134" i="4"/>
  <c r="K16" i="3"/>
  <c r="J134" i="4"/>
  <c r="J133" i="4" s="1"/>
  <c r="AV134" i="4"/>
  <c r="L16" i="3" s="1"/>
  <c r="N16" i="3" s="1"/>
  <c r="K15" i="3"/>
  <c r="BC131" i="4"/>
  <c r="J131" i="4"/>
  <c r="J130" i="4" s="1"/>
  <c r="AV131" i="4"/>
  <c r="L15" i="3" s="1"/>
  <c r="N15" i="3" s="1"/>
  <c r="AW128" i="4"/>
  <c r="AV126" i="4"/>
  <c r="I126" i="4"/>
  <c r="BC124" i="4"/>
  <c r="J124" i="4"/>
  <c r="BC122" i="4"/>
  <c r="J122" i="4"/>
  <c r="BC119" i="4"/>
  <c r="AX119" i="4"/>
  <c r="AV119" i="4"/>
  <c r="J116" i="4"/>
  <c r="AU111" i="4"/>
  <c r="I111" i="4"/>
  <c r="AT111" i="4"/>
  <c r="K111" i="4"/>
  <c r="AS111" i="4"/>
  <c r="J112" i="4"/>
  <c r="J111" i="4" s="1"/>
  <c r="AV112" i="4"/>
  <c r="J108" i="4"/>
  <c r="J106" i="4"/>
  <c r="AV106" i="4"/>
  <c r="BC104" i="4"/>
  <c r="J104" i="4"/>
  <c r="J102" i="4"/>
  <c r="AX100" i="4"/>
  <c r="BC100" i="4" s="1"/>
  <c r="AV97" i="4"/>
  <c r="AX97" i="4"/>
  <c r="BC97" i="4" s="1"/>
  <c r="BC95" i="4"/>
  <c r="J95" i="4"/>
  <c r="AV93" i="4"/>
  <c r="AX93" i="4"/>
  <c r="BC93" i="4" s="1"/>
  <c r="J91" i="4"/>
  <c r="AV91" i="4"/>
  <c r="BC89" i="4"/>
  <c r="AX89" i="4"/>
  <c r="AV89" i="4"/>
  <c r="AV87" i="4"/>
  <c r="AX87" i="4"/>
  <c r="BC87" i="4" s="1"/>
  <c r="BC85" i="4"/>
  <c r="J85" i="4"/>
  <c r="AV81" i="4"/>
  <c r="AX81" i="4"/>
  <c r="BC81" i="4" s="1"/>
  <c r="BC77" i="4"/>
  <c r="AX77" i="4"/>
  <c r="AV77" i="4"/>
  <c r="BC75" i="4"/>
  <c r="J75" i="4"/>
  <c r="J71" i="4"/>
  <c r="BC69" i="4"/>
  <c r="J69" i="4"/>
  <c r="AX67" i="4"/>
  <c r="BC67" i="4" s="1"/>
  <c r="J65" i="4"/>
  <c r="AV65" i="4"/>
  <c r="J63" i="4"/>
  <c r="AU60" i="4"/>
  <c r="I60" i="4"/>
  <c r="AT60" i="4"/>
  <c r="K60" i="4"/>
  <c r="AS60" i="4"/>
  <c r="J61" i="4"/>
  <c r="J58" i="4"/>
  <c r="AV56" i="4"/>
  <c r="I56" i="4"/>
  <c r="AV53" i="4"/>
  <c r="I53" i="4"/>
  <c r="BC51" i="4"/>
  <c r="AX51" i="4"/>
  <c r="AV51" i="4"/>
  <c r="AX49" i="4"/>
  <c r="BC49" i="4" s="1"/>
  <c r="BC47" i="4"/>
  <c r="J47" i="4"/>
  <c r="J45" i="4"/>
  <c r="AV45" i="4"/>
  <c r="BC43" i="4"/>
  <c r="AX43" i="4"/>
  <c r="AV43" i="4"/>
  <c r="BC41" i="4"/>
  <c r="J41" i="4"/>
  <c r="AW39" i="4"/>
  <c r="BC37" i="4"/>
  <c r="I37" i="4"/>
  <c r="AT24" i="4"/>
  <c r="J35" i="4"/>
  <c r="J33" i="4"/>
  <c r="BC31" i="4"/>
  <c r="J31" i="4"/>
  <c r="AX29" i="4"/>
  <c r="BC29" i="4" s="1"/>
  <c r="AX27" i="4"/>
  <c r="BC27" i="4" s="1"/>
  <c r="AS24" i="4"/>
  <c r="AU24" i="4"/>
  <c r="J14" i="3"/>
  <c r="BC25" i="4"/>
  <c r="I25" i="4"/>
  <c r="K24" i="4"/>
  <c r="BC22" i="4"/>
  <c r="AV22" i="4"/>
  <c r="I22" i="4"/>
  <c r="AU17" i="4"/>
  <c r="I17" i="4"/>
  <c r="K17" i="4"/>
  <c r="C28" i="1"/>
  <c r="F28" i="1" s="1"/>
  <c r="C20" i="1"/>
  <c r="C18" i="1"/>
  <c r="BI18" i="4"/>
  <c r="AC18" i="4" s="1"/>
  <c r="C15" i="1" s="1"/>
  <c r="AV18" i="4"/>
  <c r="J18" i="4"/>
  <c r="J17" i="4" s="1"/>
  <c r="J13" i="3"/>
  <c r="C19" i="1"/>
  <c r="C17" i="1"/>
  <c r="C21" i="1"/>
  <c r="AX14" i="4"/>
  <c r="AT13" i="4"/>
  <c r="C29" i="1"/>
  <c r="F29" i="1" s="1"/>
  <c r="C27" i="1"/>
  <c r="AV209" i="4" l="1"/>
  <c r="AV204" i="4"/>
  <c r="I189" i="4"/>
  <c r="K21" i="3"/>
  <c r="C16" i="1"/>
  <c r="J138" i="4"/>
  <c r="C14" i="1"/>
  <c r="C22" i="1" s="1"/>
  <c r="AV49" i="4"/>
  <c r="AV29" i="4"/>
  <c r="AV27" i="4"/>
  <c r="K22" i="3"/>
  <c r="BC215" i="4"/>
  <c r="AV215" i="4"/>
  <c r="L22" i="3" s="1"/>
  <c r="N22" i="3" s="1"/>
  <c r="J22" i="3"/>
  <c r="K167" i="4"/>
  <c r="L18" i="3" s="1"/>
  <c r="P18" i="3" s="1"/>
  <c r="L21" i="3"/>
  <c r="N21" i="3" s="1"/>
  <c r="J177" i="4"/>
  <c r="J167" i="4"/>
  <c r="K18" i="3" s="1"/>
  <c r="I167" i="4"/>
  <c r="J18" i="3" s="1"/>
  <c r="K13" i="2"/>
  <c r="AV128" i="4"/>
  <c r="BC128" i="4"/>
  <c r="J60" i="4"/>
  <c r="AV100" i="4"/>
  <c r="AV67" i="4"/>
  <c r="K14" i="3"/>
  <c r="K238" i="4"/>
  <c r="K12" i="4"/>
  <c r="L12" i="3" s="1"/>
  <c r="P12" i="3" s="1"/>
  <c r="I24" i="4"/>
  <c r="I12" i="4" s="1"/>
  <c r="J12" i="3" s="1"/>
  <c r="BC39" i="4"/>
  <c r="AV39" i="4"/>
  <c r="J24" i="4"/>
  <c r="J12" i="2"/>
  <c r="I28" i="1"/>
  <c r="I29" i="1" s="1"/>
  <c r="BC14" i="4"/>
  <c r="K13" i="3"/>
  <c r="AV14" i="4"/>
  <c r="L13" i="3" s="1"/>
  <c r="N13" i="3" s="1"/>
  <c r="L12" i="2" l="1"/>
  <c r="P12" i="2" s="1"/>
  <c r="J12" i="4"/>
  <c r="K12" i="3" s="1"/>
  <c r="L13" i="2"/>
  <c r="P13" i="2" s="1"/>
  <c r="L14" i="2" s="1"/>
  <c r="J13" i="2"/>
  <c r="L14" i="3"/>
  <c r="N14" i="3" s="1"/>
  <c r="L24" i="3" s="1"/>
  <c r="K12" i="2"/>
</calcChain>
</file>

<file path=xl/sharedStrings.xml><?xml version="1.0" encoding="utf-8"?>
<sst xmlns="http://schemas.openxmlformats.org/spreadsheetml/2006/main" count="1369" uniqueCount="480">
  <si>
    <t>Název stavby:</t>
  </si>
  <si>
    <t>Druh stavby:</t>
  </si>
  <si>
    <t>Lokalita:</t>
  </si>
  <si>
    <t>Začátek výstavby:</t>
  </si>
  <si>
    <t>JKSO:</t>
  </si>
  <si>
    <t>Rozpočtové náklady v Kč</t>
  </si>
  <si>
    <t>A</t>
  </si>
  <si>
    <t>HSV</t>
  </si>
  <si>
    <t>PSV</t>
  </si>
  <si>
    <t>"M"</t>
  </si>
  <si>
    <t>Ostatní materiál</t>
  </si>
  <si>
    <t>Přesun hmot a sutí</t>
  </si>
  <si>
    <t>ZRN celkem</t>
  </si>
  <si>
    <t>Základ 0%</t>
  </si>
  <si>
    <t>Základ 15%</t>
  </si>
  <si>
    <t>Základ 21%</t>
  </si>
  <si>
    <t>Projektant</t>
  </si>
  <si>
    <t>Datum, razítko a podpis</t>
  </si>
  <si>
    <t>Poznámka:</t>
  </si>
  <si>
    <t>Základní rozpočtové náklady</t>
  </si>
  <si>
    <t>Dodávky</t>
  </si>
  <si>
    <t>Montáž</t>
  </si>
  <si>
    <t>Krycí list výkazu výměr</t>
  </si>
  <si>
    <t>B</t>
  </si>
  <si>
    <t>Práce přesčas</t>
  </si>
  <si>
    <t>Bez pevné podl.</t>
  </si>
  <si>
    <t>Kulturní památka</t>
  </si>
  <si>
    <t>DN celkem</t>
  </si>
  <si>
    <t>DN celkem z obj.</t>
  </si>
  <si>
    <t>DPH 15%</t>
  </si>
  <si>
    <t>DPH 21%</t>
  </si>
  <si>
    <t>Objednatel</t>
  </si>
  <si>
    <t>Objednatel:</t>
  </si>
  <si>
    <t>Projektant:</t>
  </si>
  <si>
    <t>Zhotovitel:</t>
  </si>
  <si>
    <t>Konec výstavby:</t>
  </si>
  <si>
    <t>Zpracoval:</t>
  </si>
  <si>
    <t>Doplňkové náklady</t>
  </si>
  <si>
    <t>C</t>
  </si>
  <si>
    <t>Zařízení staveniště</t>
  </si>
  <si>
    <t>Mimostav. doprava</t>
  </si>
  <si>
    <t>Územní vlivy</t>
  </si>
  <si>
    <t>Provozní vlivy</t>
  </si>
  <si>
    <t>Ostatní</t>
  </si>
  <si>
    <t>NUS z rozpočtu</t>
  </si>
  <si>
    <t>NUS celkem</t>
  </si>
  <si>
    <t>NUS celkem z obj.</t>
  </si>
  <si>
    <t>ORN celkem</t>
  </si>
  <si>
    <t>ORN celkem z obj.</t>
  </si>
  <si>
    <t>Celkem bez DPH</t>
  </si>
  <si>
    <t>Celkem včetně DPH</t>
  </si>
  <si>
    <t>Zhotovitel</t>
  </si>
  <si>
    <t>IČ/DIČ:</t>
  </si>
  <si>
    <t>Položek:</t>
  </si>
  <si>
    <t>Datum:</t>
  </si>
  <si>
    <t>Náklady na umístění stavby (NUS)</t>
  </si>
  <si>
    <t>84</t>
  </si>
  <si>
    <t>Výkaz výměr - Jen objekty celkem</t>
  </si>
  <si>
    <t xml:space="preserve"> </t>
  </si>
  <si>
    <t>Objekt</t>
  </si>
  <si>
    <t>01</t>
  </si>
  <si>
    <t>02</t>
  </si>
  <si>
    <t>Zkrácený popis</t>
  </si>
  <si>
    <t>ZTI</t>
  </si>
  <si>
    <t>ÚT</t>
  </si>
  <si>
    <t>Doba výstavby:</t>
  </si>
  <si>
    <t>Zpracováno dne:</t>
  </si>
  <si>
    <t>Náklady (Kč)</t>
  </si>
  <si>
    <t>Dodávka</t>
  </si>
  <si>
    <t>Celkem:</t>
  </si>
  <si>
    <t>Celkem</t>
  </si>
  <si>
    <t>F</t>
  </si>
  <si>
    <t>Výkaz výměr - Jen skupiny</t>
  </si>
  <si>
    <t>Kód</t>
  </si>
  <si>
    <t>6</t>
  </si>
  <si>
    <t>72</t>
  </si>
  <si>
    <t>8</t>
  </si>
  <si>
    <t>9</t>
  </si>
  <si>
    <t>73</t>
  </si>
  <si>
    <t>Úpravy povrchů a osazování výplní otvorů</t>
  </si>
  <si>
    <t>Zdravotně technické instalace</t>
  </si>
  <si>
    <t>Trubní vedení</t>
  </si>
  <si>
    <t>Dokončovací práce, demolice</t>
  </si>
  <si>
    <t>Ústřední vytápění</t>
  </si>
  <si>
    <t>T</t>
  </si>
  <si>
    <t>Výkaz výměr</t>
  </si>
  <si>
    <t>Č</t>
  </si>
  <si>
    <t>1</t>
  </si>
  <si>
    <t>2</t>
  </si>
  <si>
    <t>3</t>
  </si>
  <si>
    <t>4</t>
  </si>
  <si>
    <t>5</t>
  </si>
  <si>
    <t>7</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</si>
  <si>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</si>
  <si>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</si>
  <si>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</si>
  <si>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</si>
  <si>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</si>
  <si>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</si>
  <si>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</si>
  <si>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</si>
  <si>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</si>
  <si>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</si>
  <si>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</si>
  <si>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</si>
  <si>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</si>
  <si>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</si>
  <si>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</si>
  <si>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</si>
  <si>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</si>
  <si>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</si>
  <si>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</si>
  <si>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</si>
  <si>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</si>
  <si>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</si>
  <si>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</si>
  <si>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</si>
  <si>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</si>
  <si>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</si>
  <si>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</si>
  <si>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</si>
  <si>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</si>
  <si>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</si>
  <si>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</si>
  <si>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</si>
  <si>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</si>
  <si>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</si>
  <si>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</si>
  <si>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</si>
  <si>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</si>
  <si>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</si>
  <si>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</si>
  <si>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</si>
  <si>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</si>
  <si>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</si>
  <si>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</si>
  <si>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</si>
  <si>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</si>
  <si>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</si>
  <si>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</si>
  <si>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</si>
  <si>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</si>
  <si>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</si>
  <si>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</si>
  <si>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</si>
  <si>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</si>
  <si>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</si>
  <si>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</si>
  <si>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</si>
  <si>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</si>
  <si>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</si>
  <si>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</si>
  <si>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</si>
  <si>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</si>
  <si>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</si>
  <si>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74</t>
  </si>
  <si>
    <t>75</t>
  </si>
  <si>
    <t>76</t>
  </si>
  <si>
    <t>77</t>
  </si>
  <si>
    <t>78</t>
  </si>
  <si>
    <t>79</t>
  </si>
  <si>
    <t>80</t>
  </si>
  <si>
    <t>81</t>
  </si>
  <si>
    <t>82</t>
  </si>
  <si>
    <t>83</t>
  </si>
  <si>
    <t>612403399RT2</t>
  </si>
  <si>
    <t>Varianta:</t>
  </si>
  <si>
    <t>630900020RAC</t>
  </si>
  <si>
    <t>RTS komentář:</t>
  </si>
  <si>
    <t>631311131R00</t>
  </si>
  <si>
    <t>721</t>
  </si>
  <si>
    <t>721170963R00</t>
  </si>
  <si>
    <t>721170966R00</t>
  </si>
  <si>
    <t>721170973R00</t>
  </si>
  <si>
    <t>721170976R00</t>
  </si>
  <si>
    <t>721171219R00</t>
  </si>
  <si>
    <t>721171803R00</t>
  </si>
  <si>
    <t>721171808R00</t>
  </si>
  <si>
    <t>721176101R00</t>
  </si>
  <si>
    <t>721176103R00</t>
  </si>
  <si>
    <t>721176105R00</t>
  </si>
  <si>
    <t>721176114R00</t>
  </si>
  <si>
    <t>721194105R00</t>
  </si>
  <si>
    <t>721194109R00</t>
  </si>
  <si>
    <t>721290111R00</t>
  </si>
  <si>
    <t>721290821R00</t>
  </si>
  <si>
    <t>721300912R00</t>
  </si>
  <si>
    <t>721300922R00</t>
  </si>
  <si>
    <t>722</t>
  </si>
  <si>
    <t>722130801R00</t>
  </si>
  <si>
    <t>722130913R00</t>
  </si>
  <si>
    <t>722170801R00</t>
  </si>
  <si>
    <t>722172913R00</t>
  </si>
  <si>
    <t>722172963R00</t>
  </si>
  <si>
    <t>722178113RT1</t>
  </si>
  <si>
    <t>722179191R00</t>
  </si>
  <si>
    <t>722181211RZ6</t>
  </si>
  <si>
    <t>722181215RZ6</t>
  </si>
  <si>
    <t>722190401R00</t>
  </si>
  <si>
    <t>722190901R00</t>
  </si>
  <si>
    <t>722191112R00</t>
  </si>
  <si>
    <t>722191133R00</t>
  </si>
  <si>
    <t>722220111R00</t>
  </si>
  <si>
    <t>722220861R00</t>
  </si>
  <si>
    <t>722235141R00</t>
  </si>
  <si>
    <t>722235521R00</t>
  </si>
  <si>
    <t>722235651R00</t>
  </si>
  <si>
    <t>722280106R00</t>
  </si>
  <si>
    <t>722290234R00</t>
  </si>
  <si>
    <t>722290821R00</t>
  </si>
  <si>
    <t>725</t>
  </si>
  <si>
    <t>725016105vd</t>
  </si>
  <si>
    <t>725100001Rvd</t>
  </si>
  <si>
    <t>725100006Rvd</t>
  </si>
  <si>
    <t>725122817R00</t>
  </si>
  <si>
    <t>725290010RA0</t>
  </si>
  <si>
    <t>725290020RA0</t>
  </si>
  <si>
    <t>725814101R00</t>
  </si>
  <si>
    <t>89</t>
  </si>
  <si>
    <t>892855111R00</t>
  </si>
  <si>
    <t>90</t>
  </si>
  <si>
    <t>909      R00</t>
  </si>
  <si>
    <t>97</t>
  </si>
  <si>
    <t>974031164R00</t>
  </si>
  <si>
    <t>979100012RA0</t>
  </si>
  <si>
    <t>H721</t>
  </si>
  <si>
    <t>998721101R00</t>
  </si>
  <si>
    <t>H722</t>
  </si>
  <si>
    <t>998722101R00</t>
  </si>
  <si>
    <t>H725</t>
  </si>
  <si>
    <t>998725101R00</t>
  </si>
  <si>
    <t>S</t>
  </si>
  <si>
    <t>979086213R00</t>
  </si>
  <si>
    <t>979990001R00</t>
  </si>
  <si>
    <t>28349010</t>
  </si>
  <si>
    <t>551623470vd</t>
  </si>
  <si>
    <t>722181215RT6</t>
  </si>
  <si>
    <t>733</t>
  </si>
  <si>
    <t>733163103R00</t>
  </si>
  <si>
    <t>733167002R00</t>
  </si>
  <si>
    <t>733190306R00</t>
  </si>
  <si>
    <t>733191111R00</t>
  </si>
  <si>
    <t>733191923R00</t>
  </si>
  <si>
    <t>734</t>
  </si>
  <si>
    <t>734211113R00</t>
  </si>
  <si>
    <t>734223122RT4</t>
  </si>
  <si>
    <t>734263132R00</t>
  </si>
  <si>
    <t>734291112R00</t>
  </si>
  <si>
    <t>735</t>
  </si>
  <si>
    <t>735000911R00</t>
  </si>
  <si>
    <t>735156910R00</t>
  </si>
  <si>
    <t>735157162R00</t>
  </si>
  <si>
    <t>735159111R00</t>
  </si>
  <si>
    <t>735191905R00</t>
  </si>
  <si>
    <t>H733</t>
  </si>
  <si>
    <t>998733101R00</t>
  </si>
  <si>
    <t>H734</t>
  </si>
  <si>
    <t>998734101R00</t>
  </si>
  <si>
    <t>H735</t>
  </si>
  <si>
    <t>998735101R00</t>
  </si>
  <si>
    <t>5512001837</t>
  </si>
  <si>
    <t>7351HZVD</t>
  </si>
  <si>
    <t>Modernizace sociálního zařízení v P1, obj. C</t>
  </si>
  <si>
    <t>ZTI+ÚT</t>
  </si>
  <si>
    <t>Zemědělská, Brno</t>
  </si>
  <si>
    <t>Zkrácený popis / Varianta</t>
  </si>
  <si>
    <t>Rozměry</t>
  </si>
  <si>
    <t>Úprava povrchů vnitřní</t>
  </si>
  <si>
    <t>Hrubá výplň rýh ve stěnách maltou</t>
  </si>
  <si>
    <t>s použitím suché maltové směsi</t>
  </si>
  <si>
    <t>11*0,15   </t>
  </si>
  <si>
    <t>Podlahy a podlahové konstrukce</t>
  </si>
  <si>
    <t>Vybourání betonové mazaniny</t>
  </si>
  <si>
    <t>tloušťka 15 cm</t>
  </si>
  <si>
    <t>3*0,5*0,5   </t>
  </si>
  <si>
    <t>Vybourání betonových podkladů pod dlažby nebo mazanin tloušťky 15 cm, včetně svislého přemístění do výše jednoho podlaží a odvozu na skládku do 10 km. V položce není kalkulován poplatek za skládku pro vybouranou suť. Tyto náklady se oceňují individuálně podle místních podmínek. Orientační hmotnost vybouraných konstrukcí je 0,33 t/m2 konstrukce.</t>
  </si>
  <si>
    <t>Doplnění mazanin betonem do 1 m2, nad tl. 8 cm</t>
  </si>
  <si>
    <t>0,75*0,15   </t>
  </si>
  <si>
    <t>Vnitřní kanalizace</t>
  </si>
  <si>
    <t>Oprava - propojení dosavadního potrubí PVC D 75</t>
  </si>
  <si>
    <t>5   </t>
  </si>
  <si>
    <t>Oprava - propojení dosavadního potrubí PVC D 140</t>
  </si>
  <si>
    <t>3   </t>
  </si>
  <si>
    <t>Oprava potrubí z PVC, krácení trub D 75 mm</t>
  </si>
  <si>
    <t>4   </t>
  </si>
  <si>
    <t>Oprava potrubí z PVC, krácení trub D 140 mm</t>
  </si>
  <si>
    <t>Trubka pro připojení WC(výlevky), D 110 mm</t>
  </si>
  <si>
    <t>Demontáž potrubí z PVC do D 75 mm</t>
  </si>
  <si>
    <t>5+6+8   </t>
  </si>
  <si>
    <t>Demontáž potrubí z PVC do D 114 mm</t>
  </si>
  <si>
    <t>Potrubí HT připojovací D 32 x 1,8 mm</t>
  </si>
  <si>
    <t>6   </t>
  </si>
  <si>
    <t>Potrubí HT připojovací D 50 x 1,8 mm</t>
  </si>
  <si>
    <t>Potrubí HT připojovací D 110 x 2,7 mm</t>
  </si>
  <si>
    <t>Potrubí HT odpadní svislé D 75 x 1,9 mm</t>
  </si>
  <si>
    <t>8   </t>
  </si>
  <si>
    <t>Vyvedení odpadních výpustek D 50 x 1,8</t>
  </si>
  <si>
    <t>Vyvedení odpadních výpustek D 110 x 2,3</t>
  </si>
  <si>
    <t>Zkouška těsnosti kanalizace vodou DN 125</t>
  </si>
  <si>
    <t>22   </t>
  </si>
  <si>
    <t>Přesun vybouraných hmot - kanalizace, H do 6 m</t>
  </si>
  <si>
    <t>00,0458   </t>
  </si>
  <si>
    <t>vodorovně do 100 m</t>
  </si>
  <si>
    <t>Pročištění svislých odpadů, jedno podl., do DN 200</t>
  </si>
  <si>
    <t>Pročištění ležatých svodů do DN 300</t>
  </si>
  <si>
    <t>9   </t>
  </si>
  <si>
    <t>Vnitřní vodovod</t>
  </si>
  <si>
    <t>Demontáž potrubí ocelových závitových DN 25</t>
  </si>
  <si>
    <t>Oprava-přeřezání ocelové trubky DN 25</t>
  </si>
  <si>
    <t>1   </t>
  </si>
  <si>
    <t>Demontáž rozvodů vody z plastů do D 32</t>
  </si>
  <si>
    <t>14   </t>
  </si>
  <si>
    <t>Propojení plastového potrubí polyf.D 25 mm,vodovod</t>
  </si>
  <si>
    <t>11   </t>
  </si>
  <si>
    <t>Vsaz.odboč.do plast.potrubí polyf.D 25 mm, vodovod</t>
  </si>
  <si>
    <t>Potrubí vícevrstvé AL/PEX, PN10, T-95°C, D 20 x 2 mm</t>
  </si>
  <si>
    <t>lisovaný spoj, mosazné press fitinky</t>
  </si>
  <si>
    <t>11+3   </t>
  </si>
  <si>
    <t>V položkách jsou započteny náklady na dodávku potrubí a tvarovek včetně montáže.</t>
  </si>
  <si>
    <t>Příplatek za malý rozsah do 20 m rozvodu</t>
  </si>
  <si>
    <t>2   </t>
  </si>
  <si>
    <t>Izolace návleková tl. stěny 6 mm</t>
  </si>
  <si>
    <t>vnitřní průměr 20 mm</t>
  </si>
  <si>
    <t>V položce je kalkulována dodávka izolační trubice, spon a lepicí pásky.</t>
  </si>
  <si>
    <t>Izolace návleková  tl. stěny 25 mm</t>
  </si>
  <si>
    <t>Vyvedení a upevnění výpustek DN 15</t>
  </si>
  <si>
    <t>Uzavření/otevření vodovodního potrubí při opravě</t>
  </si>
  <si>
    <t>10   </t>
  </si>
  <si>
    <t>Hadice flexibilní k baterii,DN 15 x M10,délka 0,5m</t>
  </si>
  <si>
    <t>Hadice sanitární flexibilní, DN 15, délka 0,5 m</t>
  </si>
  <si>
    <t>Nástěnka K 247, pro výtokový ventil G 1/2</t>
  </si>
  <si>
    <t>Demontáž armatur s dvěma závity G 3/4</t>
  </si>
  <si>
    <t>Kohout kulový s odvodn. vnitř.-vnitř.z. DN 15</t>
  </si>
  <si>
    <t>PN 25 - 1/2” až 1”, PN 20 - 5/4” až 2”, T = -20 °C až +80 °C_x000D_
závit vnitřní - vnitřní FF, provedení páka_x000D_
materiál niklovaná mosaz CW617N</t>
  </si>
  <si>
    <t>Filtr, vnitřní-vnitřní z. DN 15</t>
  </si>
  <si>
    <t>Ventil vod.zpětný DN 15</t>
  </si>
  <si>
    <t>Tlaková zkouška vodovodního potrubí DN 32</t>
  </si>
  <si>
    <t>Proplach a dezinfekce vodovod.potrubí DN 80</t>
  </si>
  <si>
    <t>Přesun vybouraných hmot - vodovody, H do 6 m</t>
  </si>
  <si>
    <t>0,0161   </t>
  </si>
  <si>
    <t>Zařizovací předměty</t>
  </si>
  <si>
    <t>Pisoár, bílý</t>
  </si>
  <si>
    <t>s radarovým splachovačem a integrovaným zdrojem, 230 V AC</t>
  </si>
  <si>
    <t>Keramický pisoár s radarovým splachovačem na montážní liště, elektromagnetický ventil, propojovací hadice, rohový ventil s filtrem a zpětnou klapkou, vtoková armatura s těsněním, sifon, úchytová sada, montážní šablona, napájecí zdroj. Napájecí napětí: 230 V AC/50 Hz_x000D_
Doporučený pracovní tlak: 0,1 - 0,6 MPa_x000D_
Průtok: 18 l/min (inf. údaj)_x000D_
Vstup vody: vnější závit G 1/2“_x000D_
Výstup vody: vtoková armatura s těsněním</t>
  </si>
  <si>
    <t>Umyvadlo, baterie, zápachová uzávěrka</t>
  </si>
  <si>
    <t xml:space="preserve">Umyvadlo:_x000D_
Bílé keramické umyvadlo o rozměrech 55x48cm s přepadem a otvorem na stojánkovou baterii, včetně nerezového sifonu, klik - klak umyvadlovou výpustí, upevňovací a připojovací sadou                                            Stojánková baterie:_x000D_
Stojánková páková směšovací baterie bez odtokové soupravy v provedení chrom, včetně připojovací sady_x000D_
</t>
  </si>
  <si>
    <t>Klozet kombi</t>
  </si>
  <si>
    <t>WC kombi set_x000D_
Keramická stojací kombinační mísa s hlubokým splachováním  o rozměrech 360x700mm určená ke stěně včetně keramické splachovací nádržky, sedátka a kotvící a připojovací sady. Napojení odpadu do podlahy z rozsahem umístění 70 - 305mm od stěny. Dvojité splachování. Sedátko bílé, materiál duroplast.</t>
  </si>
  <si>
    <t>Demontáž pisoárů bez nádrže + 1 záchodkem</t>
  </si>
  <si>
    <t>Demontáž klozetu včetně splachovací nádrže</t>
  </si>
  <si>
    <t>Demontáž umyvadla včetně baterie a konzol</t>
  </si>
  <si>
    <t>Ventil rohový s filtrem  DN 15 x DN 10</t>
  </si>
  <si>
    <t>Ostatní konstrukce a práce na trubním vedení</t>
  </si>
  <si>
    <t>Kontrola kanalizace TV kamerou do 15 m</t>
  </si>
  <si>
    <t>Hodinové zúčtovací sazby (HZS)</t>
  </si>
  <si>
    <t>Hzs-nezmeritelne stavebni prace</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</si>
  <si>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t>
  </si>
  <si>
    <t>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</si>
  <si>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Prorážení otvorů a ostatní bourací práce</t>
  </si>
  <si>
    <t>Vysekání rýh ve zdi cihelné do 15 x 15 cm</t>
  </si>
  <si>
    <t>Položka platí pro zdivo na jakoukoliv maltu vápennou nebo vápenocementovou, V položce není kalkulována manipulace se sutí, která se oceňuje samostatně položkami souboru 979.</t>
  </si>
  <si>
    <t>Odvoz suti a vyb.hmot do 10 km, vnitrost. 25 m</t>
  </si>
  <si>
    <t>0,4729+0,0161+0,0458+0,1757   </t>
  </si>
  <si>
    <t>Přesun hmot pro vnitřní kanalizaci, výšky do 6 m</t>
  </si>
  <si>
    <t>0,1147   </t>
  </si>
  <si>
    <t>Přesun hmot pro vnitřní vodovod, výšky do 6 m</t>
  </si>
  <si>
    <t>0,0304   </t>
  </si>
  <si>
    <t>Přesun hmot pro zařizovací předměty, výšky do 6 m</t>
  </si>
  <si>
    <t>0,3228   </t>
  </si>
  <si>
    <t>Přesuny sutí</t>
  </si>
  <si>
    <t>Nakládání vybouraných hmot na dopravní prostředek</t>
  </si>
  <si>
    <t>0,71   </t>
  </si>
  <si>
    <t>Nakládání na vodorovnou dopravu.</t>
  </si>
  <si>
    <t>Poplatek za skládku stavební suti</t>
  </si>
  <si>
    <t>Dvířka revizní plná rozměr do 200x200 mm</t>
  </si>
  <si>
    <t>1   200x200</t>
  </si>
  <si>
    <t>1   150x150</t>
  </si>
  <si>
    <t>Materiál: tvrzený plast (PVC), vhodný pro vnitřní i venkovní použití  Barva: bílá, šedá</t>
  </si>
  <si>
    <t>Sifon kondenzační podomítkový</t>
  </si>
  <si>
    <t>Podomítkový sifon ke klimatizačním jednotkám DN32 - 100x100mm_x000D_
Vodní zápachová uzávěrka DN32 pro odvod kondenzátu s přídavnou mechanickou zápachovou uzávěrkou (kulička), podomítkové provedení. Instalace možná pouze vertikálně!! Připojení potrubí s kondenzátem pr. 20-32mm (minimální vnitřní průměr připojovacího potrubí 18mm!!). transparentní čistící vložka je vyjímatelná z podomítkového tělesa pro údržbu. Délkově upravitelná stavební ochranná zátka a kryt jsou součástí balení. Minimální hloubka pro zabudování 60mm.</t>
  </si>
  <si>
    <t>6*0,15   </t>
  </si>
  <si>
    <t>Izolace návleková tl. stěny 25 mm</t>
  </si>
  <si>
    <t>vnitřní průměr 18 mm</t>
  </si>
  <si>
    <t>16   </t>
  </si>
  <si>
    <t>Rozvod potrubí</t>
  </si>
  <si>
    <t>Potrubí z měděných trubek vytápění D 18 x 1,0 mm</t>
  </si>
  <si>
    <t>Příplatek za zhotovení přípojky Cu 18/1</t>
  </si>
  <si>
    <t>Tlaková zkouška Cu potrubí do D 35</t>
  </si>
  <si>
    <t>Manžety prostupové pro trubky do DN 20</t>
  </si>
  <si>
    <t>Navaření odbočky na potrubí,DN odbočky 15</t>
  </si>
  <si>
    <t>2   napojení na st. potrubí</t>
  </si>
  <si>
    <t>Armatury</t>
  </si>
  <si>
    <t>Ventily odvzdušňovací ot.těles V 4320, G 3/8"</t>
  </si>
  <si>
    <t>Ventil termostatický, přímý, DN 15</t>
  </si>
  <si>
    <t>s hlavicí ručního ovládání</t>
  </si>
  <si>
    <t>Šroubení regulační, přímé,  DN 15</t>
  </si>
  <si>
    <t>Kohouty plnící a vypouštěcí G 3/8</t>
  </si>
  <si>
    <t>Otopná tělesa</t>
  </si>
  <si>
    <t>Vyregulování ventilů s ručním ovládáním</t>
  </si>
  <si>
    <t>Tlakové zkoušky otopných deskových těles velikosti 10-11</t>
  </si>
  <si>
    <t>Otopná těl.panel.desková - provedení Ventil Kompakt 10  600/ 600</t>
  </si>
  <si>
    <t>Desková otopná tělesa s ventilem a spodním připojením na otopnou soustavu s nuceným oběhem teplonosné látky</t>
  </si>
  <si>
    <t>Montáž panelových deskových těles do délky 1600 mm</t>
  </si>
  <si>
    <t>Odvzdušnění otopných těles</t>
  </si>
  <si>
    <t>Vysekání rýh ve zdi cihelné 15 x 15 cm</t>
  </si>
  <si>
    <t>0,1329   </t>
  </si>
  <si>
    <t>Přesun hmot pro rozvody potrubí, výšky do 6 m</t>
  </si>
  <si>
    <t>0,0202   </t>
  </si>
  <si>
    <t>Přesun hmot pro armatury, výšky do 6 m</t>
  </si>
  <si>
    <t>0,0018   </t>
  </si>
  <si>
    <t>Přesun hmot pro otopná tělesa, výšky do 6 m</t>
  </si>
  <si>
    <t>0,0075   </t>
  </si>
  <si>
    <t>0,13   </t>
  </si>
  <si>
    <t>Nakládání ro vodorovnou dopravu.</t>
  </si>
  <si>
    <t>Regulační a uzavíratelné šroubení - 1/2"xEK; 15x1; rohové</t>
  </si>
  <si>
    <t>PN 10, T = +120 °C  k připojení na měděné potrubí svěrným šroubením (měď d 15 × 1) připojovací rozměr termostatické hlavice M 30 × 1,5 pro připojení těles s 1/2“ vnitřním závitem, provedení rohové materiál niklovaná mosaz CW617N.  Sestava se skládá z regulační a uzavírací armatury, adaptéru , svěrných šroubení na měděné potrubí určeno pro tělesa se závitem M 30 × 1,5 ventilové vložky  utahovací moment</t>
  </si>
  <si>
    <t>Přechodka ocel-měď DN15, vč. montáže</t>
  </si>
  <si>
    <t>14.05.2020</t>
  </si>
  <si>
    <t>MJ</t>
  </si>
  <si>
    <t>m2</t>
  </si>
  <si>
    <t>m3</t>
  </si>
  <si>
    <t>kus</t>
  </si>
  <si>
    <t>m</t>
  </si>
  <si>
    <t>t</t>
  </si>
  <si>
    <t>soubor</t>
  </si>
  <si>
    <t>úsek</t>
  </si>
  <si>
    <t>h</t>
  </si>
  <si>
    <t>Množství</t>
  </si>
  <si>
    <t>Cena/MJ</t>
  </si>
  <si>
    <t>(Kč)</t>
  </si>
  <si>
    <t>Mendelova univerzita v Brně</t>
  </si>
  <si>
    <t>ing. Machovec</t>
  </si>
  <si>
    <t>Cenová</t>
  </si>
  <si>
    <t>soustava</t>
  </si>
  <si>
    <t>RTS I / 2020</t>
  </si>
  <si>
    <t>vlastní</t>
  </si>
  <si>
    <t>Přesuny</t>
  </si>
  <si>
    <t>Typ skupiny</t>
  </si>
  <si>
    <t>HSV mat</t>
  </si>
  <si>
    <t>HSV prac</t>
  </si>
  <si>
    <t>PSV mat</t>
  </si>
  <si>
    <t>PSV prac</t>
  </si>
  <si>
    <t>Mont mat</t>
  </si>
  <si>
    <t>Mont prac</t>
  </si>
  <si>
    <t>Ostatní mat.</t>
  </si>
  <si>
    <t>0</t>
  </si>
  <si>
    <t>61_</t>
  </si>
  <si>
    <t>63_</t>
  </si>
  <si>
    <t>721_</t>
  </si>
  <si>
    <t>722_</t>
  </si>
  <si>
    <t>725_</t>
  </si>
  <si>
    <t>89_</t>
  </si>
  <si>
    <t>90_</t>
  </si>
  <si>
    <t>97_</t>
  </si>
  <si>
    <t>H721_</t>
  </si>
  <si>
    <t>H722_</t>
  </si>
  <si>
    <t>H725_</t>
  </si>
  <si>
    <t>S_</t>
  </si>
  <si>
    <t>Z99999_</t>
  </si>
  <si>
    <t>733_</t>
  </si>
  <si>
    <t>734_</t>
  </si>
  <si>
    <t>735_</t>
  </si>
  <si>
    <t>H733_</t>
  </si>
  <si>
    <t>H734_</t>
  </si>
  <si>
    <t>H735_</t>
  </si>
  <si>
    <t>01_6_</t>
  </si>
  <si>
    <t>01_72_</t>
  </si>
  <si>
    <t>01_8_</t>
  </si>
  <si>
    <t>01_9_</t>
  </si>
  <si>
    <t>01_Z_</t>
  </si>
  <si>
    <t>02_6_</t>
  </si>
  <si>
    <t>02_72_</t>
  </si>
  <si>
    <t>02_73_</t>
  </si>
  <si>
    <t>02_9_</t>
  </si>
  <si>
    <t>02_Z_</t>
  </si>
  <si>
    <t>01_</t>
  </si>
  <si>
    <t>02_</t>
  </si>
  <si>
    <t>MAT</t>
  </si>
  <si>
    <t>WORK</t>
  </si>
  <si>
    <t>CELK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</si>
</sst>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name val="Arial"/>
    </font>
    <font>
      <sz val="10"/>
      <color indexed="8"/>
      <name val="Arial"/>
      <charset val="238"/>
    </font>
    <font>
      <b/>
      <sz val="18"/>
      <color indexed="8"/>
      <name val="Arial"/>
      <charset val="238"/>
    </font>
    <font>
      <b/>
      <sz val="20"/>
      <color indexed="8"/>
      <name val="Arial"/>
      <charset val="238"/>
    </font>
    <font>
      <b/>
      <sz val="12"/>
      <color indexed="8"/>
      <name val="Arial"/>
      <charset val="238"/>
    </font>
    <font>
      <sz val="12"/>
      <color indexed="8"/>
      <name val="Arial"/>
      <charset val="238"/>
    </font>
    <font>
      <i/>
      <sz val="8"/>
      <color indexed="8"/>
      <name val="Arial"/>
      <charset val="238"/>
    </font>
    <font>
      <b/>
      <sz val="11"/>
      <color indexed="8"/>
      <name val="Arial"/>
      <charset val="238"/>
    </font>
    <font>
      <sz val="18"/>
      <color indexed="8"/>
      <name val="Arial"/>
      <charset val="238"/>
    </font>
    <font>
      <b/>
      <sz val="10"/>
      <color indexed="8"/>
      <name val="Arial"/>
      <charset val="238"/>
    </font>
    <font>
      <sz val="10"/>
      <color indexed="54"/>
      <name val="Arial"/>
      <charset val="238"/>
    </font>
    <font>
      <sz val="10"/>
      <color indexed="56"/>
      <name val="Arial"/>
      <charset val="238"/>
    </font>
    <font>
      <sz val="10"/>
      <color indexed="61"/>
      <name val="Arial"/>
      <charset val="238"/>
    </font>
    <font>
      <sz val="10"/>
      <color indexed="62"/>
      <name val="Arial"/>
      <charset val="238"/>
    </font>
    <font>
      <b/>
      <sz val="10"/>
      <color indexed="54"/>
      <name val="Arial"/>
      <charset val="238"/>
    </font>
    <font>
      <b/>
      <sz val="10"/>
      <color indexed="56"/>
      <name val="Arial"/>
      <charset val="238"/>
    </font>
    <font>
      <i/>
      <sz val="10"/>
      <color indexed="58"/>
      <name val="Arial"/>
      <charset val="238"/>
    </font>
    <font>
      <i/>
      <sz val="10"/>
      <color indexed="59"/>
      <name val="Arial"/>
      <charset val="238"/>
    </font>
    <font>
      <i/>
      <sz val="10"/>
      <color indexed="63"/>
      <name val="Arial"/>
      <charset val="238"/>
    </font>
    <font>
      <sz val="10"/>
      <color indexed="8"/>
      <name val="Arial"/>
      <family val="2"/>
      <charset val="238"/>
    </font>
  </fonts>
  <fills count="6">
    <fill>
      <patternFill patternType="none"/>
    </fill>
    <fill>
      <patternFill patternType="gray125"/>
    </fill>
    <fill>
      <patternFill patternType="solid">
        <fgColor indexed="22"/>
        <bgColor indexed="9"/>
      </patternFill>
    </fill>
    <fill>
      <patternFill patternType="solid">
        <fgColor indexed="55"/>
        <bgColor indexed="9"/>
      </patternFill>
    </fill>
    <fill>
      <patternFill patternType="solid">
        <fgColor indexed="57"/>
        <bgColor indexed="9"/>
      </patternFill>
    </fill>
    <fill>
      <patternFill patternType="solid">
        <fgColor theme="4" tint="0.59999389629810485"/>
        <bgColor indexed="64"/>
      </patternFill>
    </fill>
  </fills>
  <borders count="42">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150">
    <xf numFmtId="0" fontId="1" fillId="0" borderId="0" xfId="0" applyFont="1" applyAlignment="1">
      <alignment vertical="center"/>
    </xf>
    <xf numFmtId="0" fontId="1" fillId="0" borderId="1" xfId="0" applyNumberFormat="1" applyFont="1" applyFill="1" applyBorder="1" applyAlignment="1" applyProtection="1">
      <alignment vertical="center"/>
    </xf>
    <xf numFmtId="49" fontId="3" fillId="2" borderId="6" xfId="0" applyNumberFormat="1" applyFont="1" applyFill="1" applyBorder="1" applyAlignment="1" applyProtection="1">
      <alignment horizontal="center" vertical="center"/>
    </xf>
    <xf numFmtId="49" fontId="4" fillId="0" borderId="7"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1" fillId="0" borderId="10" xfId="0" applyNumberFormat="1" applyFont="1" applyFill="1" applyBorder="1" applyAlignment="1" applyProtection="1">
      <alignment vertical="center"/>
    </xf>
    <xf numFmtId="0" fontId="1" fillId="0" borderId="11" xfId="0" applyNumberFormat="1" applyFont="1" applyFill="1" applyBorder="1" applyAlignment="1" applyProtection="1">
      <alignment vertical="center"/>
    </xf>
    <xf numFmtId="49" fontId="6" fillId="0" borderId="15" xfId="0" applyNumberFormat="1" applyFont="1" applyFill="1" applyBorder="1" applyAlignment="1" applyProtection="1">
      <alignment horizontal="left" vertical="center"/>
    </xf>
    <xf numFmtId="49" fontId="5" fillId="0" borderId="6" xfId="0" applyNumberFormat="1" applyFont="1" applyFill="1" applyBorder="1" applyAlignment="1" applyProtection="1">
      <alignment horizontal="left" vertical="center"/>
    </xf>
    <xf numFmtId="0" fontId="1" fillId="0" borderId="15" xfId="0" applyNumberFormat="1" applyFont="1" applyFill="1" applyBorder="1" applyAlignment="1" applyProtection="1">
      <alignment vertical="center"/>
    </xf>
    <xf numFmtId="0" fontId="1" fillId="0" borderId="18" xfId="0" applyNumberFormat="1" applyFont="1" applyFill="1" applyBorder="1" applyAlignment="1" applyProtection="1">
      <alignment vertical="center"/>
    </xf>
    <xf numFmtId="0" fontId="1" fillId="0" borderId="4" xfId="0" applyNumberFormat="1" applyFont="1" applyFill="1" applyBorder="1" applyAlignment="1" applyProtection="1">
      <alignment vertical="center"/>
    </xf>
    <xf numFmtId="4" fontId="5" fillId="0" borderId="6" xfId="0" applyNumberFormat="1" applyFont="1" applyFill="1" applyBorder="1" applyAlignment="1" applyProtection="1">
      <alignment horizontal="right" vertical="center"/>
    </xf>
    <xf numFmtId="49" fontId="5" fillId="0" borderId="6" xfId="0" applyNumberFormat="1" applyFont="1" applyFill="1" applyBorder="1" applyAlignment="1" applyProtection="1">
      <alignment horizontal="right" vertical="center"/>
    </xf>
    <xf numFmtId="4" fontId="5" fillId="0" borderId="22" xfId="0" applyNumberFormat="1" applyFont="1" applyFill="1" applyBorder="1" applyAlignment="1" applyProtection="1">
      <alignment horizontal="right" vertical="center"/>
    </xf>
    <xf numFmtId="0" fontId="1" fillId="0" borderId="23" xfId="0" applyNumberFormat="1" applyFont="1" applyFill="1" applyBorder="1" applyAlignment="1" applyProtection="1">
      <alignment vertical="center"/>
    </xf>
    <xf numFmtId="0" fontId="1" fillId="0" borderId="24" xfId="0" applyNumberFormat="1" applyFont="1" applyFill="1" applyBorder="1" applyAlignment="1" applyProtection="1">
      <alignment vertical="center"/>
    </xf>
    <xf numFmtId="49" fontId="1" fillId="0" borderId="0" xfId="0" applyNumberFormat="1" applyFont="1" applyFill="1" applyBorder="1" applyAlignment="1" applyProtection="1">
      <alignment horizontal="left" vertical="center"/>
    </xf>
    <xf numFmtId="0" fontId="1" fillId="0" borderId="9" xfId="0" applyNumberFormat="1" applyFont="1" applyFill="1" applyBorder="1" applyAlignment="1" applyProtection="1">
      <alignment vertical="center"/>
    </xf>
    <xf numFmtId="0" fontId="1" fillId="0" borderId="3" xfId="0" applyNumberFormat="1" applyFont="1" applyFill="1" applyBorder="1" applyAlignment="1" applyProtection="1">
      <alignment vertical="center"/>
    </xf>
    <xf numFmtId="0" fontId="1" fillId="0" borderId="13" xfId="0" applyNumberFormat="1" applyFont="1" applyFill="1" applyBorder="1" applyAlignment="1" applyProtection="1">
      <alignment vertical="center"/>
    </xf>
    <xf numFmtId="4" fontId="4" fillId="2" borderId="16" xfId="0" applyNumberFormat="1" applyFont="1" applyFill="1" applyBorder="1" applyAlignment="1" applyProtection="1">
      <alignment horizontal="right" vertical="center"/>
    </xf>
    <xf numFmtId="49" fontId="1" fillId="0" borderId="27" xfId="0" applyNumberFormat="1" applyFont="1" applyFill="1" applyBorder="1" applyAlignment="1" applyProtection="1">
      <alignment horizontal="left" vertical="center"/>
    </xf>
    <xf numFmtId="49" fontId="9" fillId="0" borderId="28" xfId="0" applyNumberFormat="1" applyFont="1" applyFill="1" applyBorder="1" applyAlignment="1" applyProtection="1">
      <alignment horizontal="left" vertical="center"/>
    </xf>
    <xf numFmtId="49" fontId="1" fillId="0" borderId="15" xfId="0" applyNumberFormat="1" applyFont="1" applyFill="1" applyBorder="1" applyAlignment="1" applyProtection="1">
      <alignment horizontal="left" vertical="center"/>
    </xf>
    <xf numFmtId="49" fontId="1" fillId="0" borderId="1" xfId="0" applyNumberFormat="1" applyFont="1" applyFill="1" applyBorder="1" applyAlignment="1" applyProtection="1">
      <alignment horizontal="left" vertical="center"/>
    </xf>
    <xf numFmtId="49" fontId="6" fillId="0" borderId="0" xfId="0" applyNumberFormat="1" applyFont="1" applyFill="1" applyBorder="1" applyAlignment="1" applyProtection="1">
      <alignment horizontal="left" vertical="center"/>
    </xf>
    <xf numFmtId="49" fontId="9" fillId="0" borderId="31" xfId="0" applyNumberFormat="1" applyFont="1" applyFill="1" applyBorder="1" applyAlignment="1" applyProtection="1">
      <alignment horizontal="center" vertical="center"/>
    </xf>
    <xf numFmtId="49" fontId="9" fillId="0" borderId="22" xfId="0" applyNumberFormat="1" applyFont="1" applyFill="1" applyBorder="1" applyAlignment="1" applyProtection="1">
      <alignment horizontal="center" vertical="center"/>
    </xf>
    <xf numFmtId="49" fontId="9" fillId="0" borderId="35" xfId="0" applyNumberFormat="1" applyFont="1" applyFill="1" applyBorder="1" applyAlignment="1" applyProtection="1">
      <alignment horizontal="center" vertical="center"/>
    </xf>
    <xf numFmtId="4" fontId="1" fillId="0" borderId="0" xfId="0" applyNumberFormat="1" applyFont="1" applyFill="1" applyBorder="1" applyAlignment="1" applyProtection="1">
      <alignment horizontal="right" vertical="center"/>
    </xf>
    <xf numFmtId="4" fontId="1" fillId="0" borderId="15" xfId="0" applyNumberFormat="1" applyFont="1" applyFill="1" applyBorder="1" applyAlignment="1" applyProtection="1">
      <alignment horizontal="right" vertical="center"/>
    </xf>
    <xf numFmtId="4" fontId="1" fillId="0" borderId="1" xfId="0" applyNumberFormat="1" applyFont="1" applyFill="1" applyBorder="1" applyAlignment="1" applyProtection="1">
      <alignment horizontal="right" vertical="center"/>
    </xf>
    <xf numFmtId="4" fontId="9" fillId="0" borderId="10" xfId="0" applyNumberFormat="1" applyFont="1" applyFill="1" applyBorder="1" applyAlignment="1" applyProtection="1">
      <alignment horizontal="right" vertical="center"/>
    </xf>
    <xf numFmtId="49" fontId="9" fillId="0" borderId="36" xfId="0" applyNumberFormat="1" applyFont="1" applyFill="1" applyBorder="1" applyAlignment="1" applyProtection="1">
      <alignment horizontal="left" vertical="center"/>
    </xf>
    <xf numFmtId="49" fontId="1" fillId="0" borderId="37" xfId="0" applyNumberFormat="1" applyFont="1" applyFill="1" applyBorder="1" applyAlignment="1" applyProtection="1">
      <alignment horizontal="left" vertical="center"/>
    </xf>
    <xf numFmtId="49" fontId="10" fillId="3" borderId="15" xfId="0" applyNumberFormat="1" applyFont="1" applyFill="1" applyBorder="1" applyAlignment="1" applyProtection="1">
      <alignment horizontal="left" vertical="center"/>
    </xf>
    <xf numFmtId="49" fontId="11" fillId="4"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horizontal="left" vertical="center"/>
    </xf>
    <xf numFmtId="49" fontId="13" fillId="0" borderId="0" xfId="0" applyNumberFormat="1" applyFont="1" applyFill="1" applyBorder="1" applyAlignment="1" applyProtection="1">
      <alignment horizontal="left" vertical="center"/>
    </xf>
    <xf numFmtId="49" fontId="10" fillId="3" borderId="0" xfId="0" applyNumberFormat="1" applyFont="1" applyFill="1" applyBorder="1" applyAlignment="1" applyProtection="1">
      <alignment horizontal="left" vertical="center"/>
    </xf>
    <xf numFmtId="49" fontId="9" fillId="0" borderId="27" xfId="0" applyNumberFormat="1" applyFont="1" applyFill="1" applyBorder="1" applyAlignment="1" applyProtection="1">
      <alignment horizontal="left" vertical="center"/>
    </xf>
    <xf numFmtId="49" fontId="1" fillId="0" borderId="28" xfId="0" applyNumberFormat="1" applyFont="1" applyFill="1" applyBorder="1" applyAlignment="1" applyProtection="1">
      <alignment horizontal="left" vertical="center"/>
    </xf>
    <xf numFmtId="49" fontId="14" fillId="3" borderId="15" xfId="0" applyNumberFormat="1" applyFont="1" applyFill="1" applyBorder="1" applyAlignment="1" applyProtection="1">
      <alignment horizontal="left" vertical="center"/>
    </xf>
    <xf numFmtId="49" fontId="15" fillId="4" borderId="0" xfId="0" applyNumberFormat="1" applyFont="1" applyFill="1" applyBorder="1" applyAlignment="1" applyProtection="1">
      <alignment horizontal="left" vertical="center"/>
    </xf>
    <xf numFmtId="49" fontId="16" fillId="0" borderId="0" xfId="0" applyNumberFormat="1" applyFont="1" applyFill="1" applyBorder="1" applyAlignment="1" applyProtection="1">
      <alignment horizontal="right" vertical="top"/>
    </xf>
    <xf numFmtId="49" fontId="14" fillId="3" borderId="0" xfId="0" applyNumberFormat="1" applyFont="1" applyFill="1" applyBorder="1" applyAlignment="1" applyProtection="1">
      <alignment horizontal="left" vertical="center"/>
    </xf>
    <xf numFmtId="49" fontId="9" fillId="0" borderId="27" xfId="0" applyNumberFormat="1" applyFont="1" applyFill="1" applyBorder="1" applyAlignment="1" applyProtection="1">
      <alignment horizontal="center" vertical="center"/>
    </xf>
    <xf numFmtId="4" fontId="12" fillId="0" borderId="0" xfId="0" applyNumberFormat="1" applyFont="1" applyFill="1" applyBorder="1" applyAlignment="1" applyProtection="1">
      <alignment horizontal="right" vertical="center"/>
    </xf>
    <xf numFmtId="4" fontId="18" fillId="0" borderId="0" xfId="0" applyNumberFormat="1" applyFont="1" applyFill="1" applyBorder="1" applyAlignment="1" applyProtection="1">
      <alignment horizontal="right" vertical="center"/>
    </xf>
    <xf numFmtId="4" fontId="13" fillId="0" borderId="0" xfId="0" applyNumberFormat="1" applyFont="1" applyFill="1" applyBorder="1" applyAlignment="1" applyProtection="1">
      <alignment horizontal="right" vertical="center"/>
    </xf>
    <xf numFmtId="4" fontId="18" fillId="0" borderId="1" xfId="0" applyNumberFormat="1" applyFont="1" applyFill="1" applyBorder="1" applyAlignment="1" applyProtection="1">
      <alignment horizontal="right" vertical="center"/>
    </xf>
    <xf numFmtId="49" fontId="9" fillId="0" borderId="38" xfId="0" applyNumberFormat="1" applyFont="1" applyFill="1" applyBorder="1" applyAlignment="1" applyProtection="1">
      <alignment horizontal="center" vertical="center"/>
    </xf>
    <xf numFmtId="49" fontId="9" fillId="0" borderId="39" xfId="0" applyNumberFormat="1" applyFont="1" applyFill="1" applyBorder="1" applyAlignment="1" applyProtection="1">
      <alignment horizontal="center" vertical="center"/>
    </xf>
    <xf numFmtId="49" fontId="9" fillId="0" borderId="40" xfId="0" applyNumberFormat="1" applyFont="1" applyFill="1" applyBorder="1" applyAlignment="1" applyProtection="1">
      <alignment horizontal="center" vertical="center"/>
    </xf>
    <xf numFmtId="49" fontId="9" fillId="0" borderId="41" xfId="0" applyNumberFormat="1" applyFont="1" applyFill="1" applyBorder="1" applyAlignment="1" applyProtection="1">
      <alignment horizontal="center" vertical="center"/>
    </xf>
    <xf numFmtId="49" fontId="14" fillId="3" borderId="15" xfId="0" applyNumberFormat="1" applyFont="1" applyFill="1" applyBorder="1" applyAlignment="1" applyProtection="1">
      <alignment horizontal="right" vertical="center"/>
    </xf>
    <xf numFmtId="49" fontId="15" fillId="4" borderId="0" xfId="0" applyNumberFormat="1" applyFont="1" applyFill="1" applyBorder="1" applyAlignment="1" applyProtection="1">
      <alignment horizontal="right" vertical="center"/>
    </xf>
    <xf numFmtId="49" fontId="12" fillId="0" borderId="0" xfId="0" applyNumberFormat="1" applyFont="1" applyFill="1" applyBorder="1" applyAlignment="1" applyProtection="1">
      <alignment horizontal="right" vertical="center"/>
    </xf>
    <xf numFmtId="49" fontId="13" fillId="0" borderId="0" xfId="0" applyNumberFormat="1" applyFont="1" applyFill="1" applyBorder="1" applyAlignment="1" applyProtection="1">
      <alignment horizontal="right" vertical="center"/>
    </xf>
    <xf numFmtId="49" fontId="14" fillId="3"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right" vertical="center"/>
    </xf>
    <xf numFmtId="4" fontId="14" fillId="3" borderId="15" xfId="0" applyNumberFormat="1" applyFont="1" applyFill="1" applyBorder="1" applyAlignment="1" applyProtection="1">
      <alignment horizontal="right" vertical="center"/>
    </xf>
    <xf numFmtId="4" fontId="15" fillId="4" borderId="0" xfId="0" applyNumberFormat="1" applyFont="1" applyFill="1" applyBorder="1" applyAlignment="1" applyProtection="1">
      <alignment horizontal="right" vertical="center"/>
    </xf>
    <xf numFmtId="4" fontId="14" fillId="3" borderId="0" xfId="0" applyNumberFormat="1" applyFont="1" applyFill="1" applyBorder="1" applyAlignment="1" applyProtection="1">
      <alignment horizontal="right" vertical="center"/>
    </xf>
    <xf numFmtId="0" fontId="1" fillId="0" borderId="1" xfId="0" applyNumberFormat="1" applyFont="1" applyFill="1" applyBorder="1" applyAlignment="1" applyProtection="1"/>
    <xf numFmtId="0"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xf>
    <xf numFmtId="0" fontId="1" fillId="0" borderId="2" xfId="0" applyNumberFormat="1" applyFont="1" applyFill="1" applyBorder="1" applyAlignment="1" applyProtection="1">
      <alignment horizontal="left" vertical="center" wrapText="1"/>
    </xf>
    <xf numFmtId="0" fontId="1" fillId="0" borderId="10" xfId="0" applyNumberFormat="1" applyFont="1" applyFill="1" applyBorder="1" applyAlignment="1" applyProtection="1">
      <alignment horizontal="left" vertical="center"/>
    </xf>
    <xf numFmtId="0" fontId="1" fillId="0" borderId="3" xfId="0" applyNumberFormat="1" applyFont="1" applyFill="1" applyBorder="1" applyAlignment="1" applyProtection="1">
      <alignment horizontal="left" vertical="center"/>
    </xf>
    <xf numFmtId="0" fontId="1" fillId="0" borderId="0" xfId="0" applyNumberFormat="1" applyFont="1" applyFill="1" applyBorder="1" applyAlignment="1" applyProtection="1">
      <alignment horizontal="left" vertical="center"/>
    </xf>
    <xf numFmtId="0" fontId="9" fillId="0" borderId="10" xfId="0" applyNumberFormat="1" applyFont="1" applyFill="1" applyBorder="1" applyAlignment="1" applyProtection="1">
      <alignment horizontal="left" vertical="center" wrapText="1"/>
    </xf>
    <xf numFmtId="0" fontId="9" fillId="0" borderId="10" xfId="0" applyNumberFormat="1" applyFont="1" applyFill="1" applyBorder="1" applyAlignment="1" applyProtection="1">
      <alignment horizontal="left" vertical="center"/>
    </xf>
    <xf numFmtId="0" fontId="9" fillId="0" borderId="0" xfId="0" applyNumberFormat="1" applyFont="1" applyFill="1" applyBorder="1" applyAlignment="1" applyProtection="1">
      <alignment horizontal="left" vertical="center"/>
    </xf>
    <xf numFmtId="0" fontId="1" fillId="0" borderId="10" xfId="0" applyNumberFormat="1" applyFont="1" applyFill="1" applyBorder="1" applyAlignment="1" applyProtection="1">
      <alignment horizontal="left" vertical="center" wrapText="1"/>
    </xf>
    <xf numFmtId="49" fontId="1" fillId="0" borderId="18" xfId="0" applyNumberFormat="1" applyFont="1" applyFill="1" applyBorder="1" applyAlignment="1" applyProtection="1">
      <alignment horizontal="left" vertical="center"/>
    </xf>
    <xf numFmtId="0" fontId="1" fillId="0" borderId="24" xfId="0" applyNumberFormat="1" applyFont="1" applyFill="1" applyBorder="1" applyAlignment="1" applyProtection="1">
      <alignment horizontal="left" vertical="center"/>
    </xf>
    <xf numFmtId="0" fontId="1" fillId="0" borderId="3"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49" fontId="1" fillId="0" borderId="24"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left" vertical="center"/>
    </xf>
    <xf numFmtId="0" fontId="1" fillId="0" borderId="4" xfId="0" applyNumberFormat="1" applyFont="1" applyFill="1" applyBorder="1" applyAlignment="1" applyProtection="1">
      <alignment horizontal="left" vertical="center"/>
    </xf>
    <xf numFmtId="0" fontId="1" fillId="0" borderId="1" xfId="0" applyNumberFormat="1" applyFont="1" applyFill="1" applyBorder="1" applyAlignment="1" applyProtection="1">
      <alignment horizontal="left" vertical="center"/>
    </xf>
    <xf numFmtId="0" fontId="1" fillId="0" borderId="24" xfId="0" applyNumberFormat="1" applyFont="1" applyFill="1" applyBorder="1" applyAlignment="1" applyProtection="1">
      <alignment horizontal="left" vertical="center" wrapText="1"/>
    </xf>
    <xf numFmtId="0" fontId="1" fillId="0" borderId="25" xfId="0" applyNumberFormat="1" applyFont="1" applyFill="1" applyBorder="1" applyAlignment="1" applyProtection="1">
      <alignment horizontal="left" vertical="center"/>
    </xf>
    <xf numFmtId="49" fontId="2" fillId="0" borderId="5" xfId="0" applyNumberFormat="1" applyFont="1" applyFill="1" applyBorder="1" applyAlignment="1" applyProtection="1">
      <alignment horizontal="center" vertical="center"/>
    </xf>
    <xf numFmtId="0" fontId="2" fillId="0" borderId="5" xfId="0" applyNumberFormat="1" applyFont="1" applyFill="1" applyBorder="1" applyAlignment="1" applyProtection="1">
      <alignment horizontal="center" vertical="center"/>
    </xf>
    <xf numFmtId="49" fontId="7" fillId="0" borderId="9" xfId="0" applyNumberFormat="1" applyFont="1" applyFill="1" applyBorder="1" applyAlignment="1" applyProtection="1">
      <alignment horizontal="left" vertical="center"/>
    </xf>
    <xf numFmtId="0" fontId="7" fillId="0" borderId="16" xfId="0" applyNumberFormat="1" applyFont="1" applyFill="1" applyBorder="1" applyAlignment="1" applyProtection="1">
      <alignment horizontal="left" vertical="center"/>
    </xf>
    <xf numFmtId="49" fontId="5" fillId="0" borderId="9" xfId="0" applyNumberFormat="1" applyFont="1" applyFill="1" applyBorder="1" applyAlignment="1" applyProtection="1">
      <alignment horizontal="left" vertical="center"/>
    </xf>
    <xf numFmtId="0" fontId="5" fillId="0" borderId="16" xfId="0" applyNumberFormat="1" applyFont="1" applyFill="1" applyBorder="1" applyAlignment="1" applyProtection="1">
      <alignment horizontal="left" vertical="center"/>
    </xf>
    <xf numFmtId="49" fontId="4" fillId="0" borderId="9" xfId="0" applyNumberFormat="1" applyFont="1" applyFill="1" applyBorder="1" applyAlignment="1" applyProtection="1">
      <alignment horizontal="left" vertical="center"/>
    </xf>
    <xf numFmtId="0" fontId="4" fillId="0" borderId="16" xfId="0" applyNumberFormat="1" applyFont="1" applyFill="1" applyBorder="1" applyAlignment="1" applyProtection="1">
      <alignment horizontal="left" vertical="center"/>
    </xf>
    <xf numFmtId="49" fontId="4" fillId="2" borderId="9" xfId="0" applyNumberFormat="1" applyFont="1" applyFill="1" applyBorder="1" applyAlignment="1" applyProtection="1">
      <alignment horizontal="left" vertical="center"/>
    </xf>
    <xf numFmtId="0" fontId="4" fillId="2" borderId="5" xfId="0" applyNumberFormat="1" applyFont="1" applyFill="1" applyBorder="1" applyAlignment="1" applyProtection="1">
      <alignment horizontal="left" vertical="center"/>
    </xf>
    <xf numFmtId="49" fontId="5" fillId="0" borderId="12" xfId="0" applyNumberFormat="1" applyFont="1" applyFill="1" applyBorder="1" applyAlignment="1" applyProtection="1">
      <alignment horizontal="left" vertical="center"/>
    </xf>
    <xf numFmtId="0" fontId="5" fillId="0" borderId="15" xfId="0" applyNumberFormat="1" applyFont="1" applyFill="1" applyBorder="1" applyAlignment="1" applyProtection="1">
      <alignment horizontal="left" vertical="center"/>
    </xf>
    <xf numFmtId="0" fontId="5" fillId="0" borderId="19" xfId="0" applyNumberFormat="1" applyFont="1" applyFill="1" applyBorder="1" applyAlignment="1" applyProtection="1">
      <alignment horizontal="left" vertical="center"/>
    </xf>
    <xf numFmtId="49" fontId="5" fillId="0" borderId="13" xfId="0" applyNumberFormat="1" applyFont="1" applyFill="1" applyBorder="1" applyAlignment="1" applyProtection="1">
      <alignment horizontal="left" vertical="center"/>
    </xf>
    <xf numFmtId="0" fontId="5" fillId="0" borderId="0" xfId="0" applyNumberFormat="1" applyFont="1" applyFill="1" applyBorder="1" applyAlignment="1" applyProtection="1">
      <alignment horizontal="left" vertical="center"/>
    </xf>
    <xf numFmtId="0" fontId="5" fillId="0" borderId="20" xfId="0" applyNumberFormat="1" applyFont="1" applyFill="1" applyBorder="1" applyAlignment="1" applyProtection="1">
      <alignment horizontal="left" vertical="center"/>
    </xf>
    <xf numFmtId="49" fontId="5" fillId="0" borderId="14" xfId="0" applyNumberFormat="1" applyFont="1" applyFill="1" applyBorder="1" applyAlignment="1" applyProtection="1">
      <alignment horizontal="left" vertical="center"/>
    </xf>
    <xf numFmtId="0" fontId="5" fillId="0" borderId="17" xfId="0" applyNumberFormat="1" applyFont="1" applyFill="1" applyBorder="1" applyAlignment="1" applyProtection="1">
      <alignment horizontal="left" vertical="center"/>
    </xf>
    <xf numFmtId="0" fontId="5" fillId="0" borderId="21" xfId="0" applyNumberFormat="1" applyFont="1" applyFill="1" applyBorder="1" applyAlignment="1" applyProtection="1">
      <alignment horizontal="left" vertical="center"/>
    </xf>
    <xf numFmtId="49" fontId="8" fillId="0" borderId="1" xfId="0" applyNumberFormat="1" applyFont="1" applyFill="1" applyBorder="1" applyAlignment="1" applyProtection="1">
      <alignment horizontal="center"/>
    </xf>
    <xf numFmtId="0" fontId="1" fillId="0" borderId="18" xfId="0" applyNumberFormat="1" applyFont="1" applyFill="1" applyBorder="1" applyAlignment="1" applyProtection="1">
      <alignment horizontal="left" vertical="center"/>
    </xf>
    <xf numFmtId="0" fontId="1" fillId="0" borderId="26" xfId="0" applyNumberFormat="1" applyFont="1" applyFill="1" applyBorder="1" applyAlignment="1" applyProtection="1">
      <alignment horizontal="left" vertical="center"/>
    </xf>
    <xf numFmtId="0" fontId="1" fillId="0" borderId="17" xfId="0" applyNumberFormat="1" applyFont="1" applyFill="1" applyBorder="1" applyAlignment="1" applyProtection="1">
      <alignment horizontal="left" vertical="center"/>
    </xf>
    <xf numFmtId="0" fontId="1" fillId="0" borderId="33" xfId="0" applyNumberFormat="1" applyFont="1" applyFill="1" applyBorder="1" applyAlignment="1" applyProtection="1">
      <alignment horizontal="left" vertical="center"/>
    </xf>
    <xf numFmtId="49" fontId="1" fillId="0" borderId="29" xfId="0" applyNumberFormat="1" applyFont="1" applyFill="1" applyBorder="1" applyAlignment="1" applyProtection="1">
      <alignment horizontal="left" vertical="center"/>
    </xf>
    <xf numFmtId="0" fontId="1" fillId="0" borderId="15" xfId="0" applyNumberFormat="1" applyFont="1" applyFill="1" applyBorder="1" applyAlignment="1" applyProtection="1">
      <alignment horizontal="left" vertical="center"/>
    </xf>
    <xf numFmtId="0" fontId="1" fillId="0" borderId="19" xfId="0" applyNumberFormat="1" applyFont="1" applyFill="1" applyBorder="1" applyAlignment="1" applyProtection="1">
      <alignment horizontal="left" vertical="center"/>
    </xf>
    <xf numFmtId="49" fontId="9" fillId="0" borderId="30" xfId="0" applyNumberFormat="1" applyFont="1" applyFill="1" applyBorder="1" applyAlignment="1" applyProtection="1">
      <alignment horizontal="center" vertical="center"/>
    </xf>
    <xf numFmtId="0" fontId="9" fillId="0" borderId="32"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49" fontId="9" fillId="0" borderId="26" xfId="0" applyNumberFormat="1" applyFont="1" applyFill="1" applyBorder="1" applyAlignment="1" applyProtection="1">
      <alignment horizontal="left" vertical="center"/>
    </xf>
    <xf numFmtId="0" fontId="9" fillId="0" borderId="17" xfId="0" applyNumberFormat="1" applyFont="1" applyFill="1" applyBorder="1" applyAlignment="1" applyProtection="1">
      <alignment horizontal="left" vertical="center"/>
    </xf>
    <xf numFmtId="0" fontId="9" fillId="0" borderId="21" xfId="0" applyNumberFormat="1" applyFont="1" applyFill="1" applyBorder="1" applyAlignment="1" applyProtection="1">
      <alignment horizontal="left" vertical="center"/>
    </xf>
    <xf numFmtId="49" fontId="1" fillId="0" borderId="15" xfId="0" applyNumberFormat="1" applyFont="1" applyFill="1" applyBorder="1" applyAlignment="1" applyProtection="1">
      <alignment horizontal="left" vertical="center"/>
    </xf>
    <xf numFmtId="49" fontId="1" fillId="0" borderId="1" xfId="0" applyNumberFormat="1" applyFont="1" applyFill="1" applyBorder="1" applyAlignment="1" applyProtection="1">
      <alignment horizontal="left" vertical="center"/>
    </xf>
    <xf numFmtId="49" fontId="9" fillId="0" borderId="10" xfId="0" applyNumberFormat="1" applyFont="1" applyFill="1" applyBorder="1" applyAlignment="1" applyProtection="1">
      <alignment horizontal="left" vertical="center"/>
    </xf>
    <xf numFmtId="49" fontId="1" fillId="0" borderId="10" xfId="0" applyNumberFormat="1" applyFont="1" applyFill="1" applyBorder="1" applyAlignment="1" applyProtection="1">
      <alignment horizontal="left" vertical="center"/>
    </xf>
    <xf numFmtId="49" fontId="9" fillId="0" borderId="29"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xf>
    <xf numFmtId="0" fontId="9" fillId="0" borderId="23" xfId="0" applyNumberFormat="1" applyFont="1" applyFill="1" applyBorder="1" applyAlignment="1" applyProtection="1">
      <alignment horizontal="left" vertical="center"/>
    </xf>
    <xf numFmtId="0" fontId="9" fillId="0" borderId="33" xfId="0" applyNumberFormat="1" applyFont="1" applyFill="1" applyBorder="1" applyAlignment="1" applyProtection="1">
      <alignment horizontal="left" vertical="center"/>
    </xf>
    <xf numFmtId="49" fontId="14" fillId="3" borderId="15" xfId="0" applyNumberFormat="1" applyFont="1" applyFill="1" applyBorder="1" applyAlignment="1" applyProtection="1">
      <alignment horizontal="left" vertical="center"/>
    </xf>
    <xf numFmtId="0" fontId="14" fillId="3" borderId="15" xfId="0" applyNumberFormat="1" applyFont="1" applyFill="1" applyBorder="1" applyAlignment="1" applyProtection="1">
      <alignment horizontal="left" vertical="center"/>
    </xf>
    <xf numFmtId="49" fontId="15" fillId="4" borderId="0" xfId="0" applyNumberFormat="1" applyFont="1" applyFill="1" applyBorder="1" applyAlignment="1" applyProtection="1">
      <alignment horizontal="left" vertical="center"/>
    </xf>
    <xf numFmtId="0" fontId="15" fillId="4"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left" vertical="center"/>
    </xf>
    <xf numFmtId="0" fontId="17" fillId="0" borderId="0" xfId="0" applyNumberFormat="1" applyFont="1" applyFill="1" applyBorder="1" applyAlignment="1" applyProtection="1">
      <alignment horizontal="left" vertical="center" wrapText="1"/>
    </xf>
    <xf numFmtId="0" fontId="17" fillId="0" borderId="0" xfId="0" applyNumberFormat="1" applyFont="1" applyFill="1" applyBorder="1" applyAlignment="1" applyProtection="1">
      <alignment horizontal="left" vertical="center"/>
    </xf>
    <xf numFmtId="49" fontId="18" fillId="0" borderId="0" xfId="0" applyNumberFormat="1" applyFont="1" applyFill="1" applyBorder="1" applyAlignment="1" applyProtection="1">
      <alignment horizontal="left" vertical="center"/>
    </xf>
    <xf numFmtId="0" fontId="18"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alignment horizontal="left" vertical="top" wrapText="1"/>
    </xf>
    <xf numFmtId="0" fontId="16" fillId="0" borderId="0" xfId="0" applyNumberFormat="1" applyFont="1" applyFill="1" applyBorder="1" applyAlignment="1" applyProtection="1">
      <alignment horizontal="left" vertical="top"/>
    </xf>
    <xf numFmtId="49" fontId="13" fillId="0" borderId="0" xfId="0" applyNumberFormat="1" applyFont="1" applyFill="1" applyBorder="1" applyAlignment="1" applyProtection="1">
      <alignment horizontal="left" vertical="center"/>
    </xf>
    <xf numFmtId="0" fontId="13" fillId="0" borderId="0" xfId="0" applyNumberFormat="1" applyFont="1" applyFill="1" applyBorder="1" applyAlignment="1" applyProtection="1">
      <alignment horizontal="left" vertical="center"/>
    </xf>
    <xf numFmtId="49" fontId="14" fillId="3" borderId="0" xfId="0" applyNumberFormat="1" applyFont="1" applyFill="1" applyBorder="1" applyAlignment="1" applyProtection="1">
      <alignment horizontal="left" vertical="center"/>
    </xf>
    <xf numFmtId="0" fontId="14" fillId="3" borderId="0" xfId="0" applyNumberFormat="1" applyFont="1" applyFill="1" applyBorder="1" applyAlignment="1" applyProtection="1">
      <alignment horizontal="left" vertical="center"/>
    </xf>
    <xf numFmtId="49" fontId="18" fillId="0" borderId="1" xfId="0" applyNumberFormat="1" applyFont="1" applyFill="1" applyBorder="1" applyAlignment="1" applyProtection="1">
      <alignment horizontal="left" vertical="center"/>
    </xf>
    <xf numFmtId="0" fontId="18" fillId="0" borderId="1" xfId="0" applyNumberFormat="1" applyFont="1" applyFill="1" applyBorder="1" applyAlignment="1" applyProtection="1">
      <alignment horizontal="left" vertical="center"/>
    </xf>
    <xf numFmtId="0" fontId="1" fillId="5" borderId="0" xfId="0" applyNumberFormat="1" applyFont="1" applyFill="1" applyBorder="1" applyAlignment="1" applyProtection="1">
      <alignment horizontal="left" vertical="center"/>
      <protection locked="0"/>
    </xf>
    <xf numFmtId="0" fontId="1" fillId="5" borderId="24" xfId="0" applyNumberFormat="1" applyFont="1" applyFill="1" applyBorder="1" applyAlignment="1" applyProtection="1">
      <alignment horizontal="left" vertical="center"/>
      <protection locked="0"/>
    </xf>
    <xf numFmtId="49" fontId="19" fillId="5" borderId="0" xfId="0" applyNumberFormat="1" applyFont="1" applyFill="1" applyBorder="1" applyAlignment="1" applyProtection="1">
      <alignment horizontal="left" vertical="center"/>
      <protection locked="0"/>
    </xf>
    <xf numFmtId="4" fontId="12" fillId="5" borderId="0" xfId="0" applyNumberFormat="1" applyFont="1" applyFill="1" applyBorder="1" applyAlignment="1" applyProtection="1">
      <alignment horizontal="right" vertical="center"/>
      <protection locked="0"/>
    </xf>
    <xf numFmtId="4" fontId="13" fillId="5" borderId="0" xfId="0" applyNumberFormat="1" applyFont="1" applyFill="1" applyBorder="1" applyAlignment="1" applyProtection="1">
      <alignment horizontal="right" vertical="center"/>
      <protection locked="0"/>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000000"/>
      <rgbColor rgb="00000000"/>
      <rgbColor rgb="00DBDBDB"/>
      <rgbColor rgb="00000000"/>
      <rgbColor rgb="00C0C0C0"/>
      <rgbColor rgb="00000000"/>
      <rgbColor rgb="00C0C0C0"/>
      <rgbColor rgb="00000000"/>
      <rgbColor rgb="00000000"/>
      <rgbColor rgb="00000000"/>
      <rgbColor rgb="00000000"/>
      <rgbColor rgb="00000000"/>
      <rgbColor rgb="00000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685800</xdr:colOff>
      <xdr:row>0</xdr:row>
      <xdr:rowOff>885825</xdr:rowOff>
    </xdr:to>
    <xdr:pic>
      <xdr:nvPicPr>
        <xdr:cNvPr id="1025" name="Picture 1">
          <a:extLst>
            <a:ext uri="{FF2B5EF4-FFF2-40B4-BE49-F238E27FC236}">
              <a16:creationId xmlns:a16="http://schemas.microsoft.com/office/drawing/2014/main" id="{657B9AD4-9F12-4DFB-86C1-7D2C3D391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95400"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571500</xdr:colOff>
      <xdr:row>0</xdr:row>
      <xdr:rowOff>885825</xdr:rowOff>
    </xdr:to>
    <xdr:pic>
      <xdr:nvPicPr>
        <xdr:cNvPr id="2049" name="Picture 1">
          <a:extLst>
            <a:ext uri="{FF2B5EF4-FFF2-40B4-BE49-F238E27FC236}">
              <a16:creationId xmlns:a16="http://schemas.microsoft.com/office/drawing/2014/main" id="{A1A1F6C2-BA70-4E16-98AA-F7F3BEAF35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33500"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571500</xdr:colOff>
      <xdr:row>0</xdr:row>
      <xdr:rowOff>885825</xdr:rowOff>
    </xdr:to>
    <xdr:pic>
      <xdr:nvPicPr>
        <xdr:cNvPr id="3073" name="Picture 1">
          <a:extLst>
            <a:ext uri="{FF2B5EF4-FFF2-40B4-BE49-F238E27FC236}">
              <a16:creationId xmlns:a16="http://schemas.microsoft.com/office/drawing/2014/main" id="{EFD75042-BBCA-423E-B5C8-589AF3C8E3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33500"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104775</xdr:colOff>
      <xdr:row>0</xdr:row>
      <xdr:rowOff>885825</xdr:rowOff>
    </xdr:to>
    <xdr:pic>
      <xdr:nvPicPr>
        <xdr:cNvPr id="4097" name="Picture 1">
          <a:extLst>
            <a:ext uri="{FF2B5EF4-FFF2-40B4-BE49-F238E27FC236}">
              <a16:creationId xmlns:a16="http://schemas.microsoft.com/office/drawing/2014/main" id="{63D9809E-DCC9-42C4-9CD5-9E1ADB350E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049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workbookViewId="0">
      <selection activeCell="F42" sqref="F42"/>
    </sheetView>
  </sheetViews>
  <sheetFormatPr defaultColWidth="11.5703125" defaultRowHeight="12.75" x14ac:dyDescent="0.2"/>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2.85546875" customWidth="1"/>
    <col min="9" max="9" width="22.85546875" customWidth="1"/>
  </cols>
  <sheetData>
    <row r="1" spans="1:10" ht="72.95" customHeight="1" x14ac:dyDescent="0.2">
      <c r="A1" s="65"/>
      <c r="B1" s="1"/>
      <c r="C1" s="66" t="s">
        <v>22</v>
      </c>
      <c r="D1" s="67"/>
      <c r="E1" s="67"/>
      <c r="F1" s="67"/>
      <c r="G1" s="67"/>
      <c r="H1" s="67"/>
      <c r="I1" s="67"/>
    </row>
    <row r="2" spans="1:10" x14ac:dyDescent="0.2">
      <c r="A2" s="68" t="s">
        <v>0</v>
      </c>
      <c r="B2" s="69"/>
      <c r="C2" s="72" t="str">
        <f>'Stavební rozpočet'!C2</f>
        <v>Modernizace sociálního zařízení v P1, obj. C</v>
      </c>
      <c r="D2" s="73"/>
      <c r="E2" s="75" t="s">
        <v>32</v>
      </c>
      <c r="F2" s="75" t="str">
        <f>'Stavební rozpočet'!I2</f>
        <v>Mendelova univerzita v Brně</v>
      </c>
      <c r="G2" s="69"/>
      <c r="H2" s="75" t="s">
        <v>52</v>
      </c>
      <c r="I2" s="76"/>
      <c r="J2" s="19"/>
    </row>
    <row r="3" spans="1:10" x14ac:dyDescent="0.2">
      <c r="A3" s="70"/>
      <c r="B3" s="71"/>
      <c r="C3" s="74"/>
      <c r="D3" s="74"/>
      <c r="E3" s="71"/>
      <c r="F3" s="71"/>
      <c r="G3" s="71"/>
      <c r="H3" s="71"/>
      <c r="I3" s="77"/>
      <c r="J3" s="19"/>
    </row>
    <row r="4" spans="1:10" x14ac:dyDescent="0.2">
      <c r="A4" s="78" t="s">
        <v>1</v>
      </c>
      <c r="B4" s="71"/>
      <c r="C4" s="79" t="str">
        <f>'Stavební rozpočet'!C4</f>
        <v>ZTI+ÚT</v>
      </c>
      <c r="D4" s="71"/>
      <c r="E4" s="79" t="s">
        <v>33</v>
      </c>
      <c r="F4" s="79" t="str">
        <f>'Stavební rozpočet'!I4</f>
        <v>ing. Machovec</v>
      </c>
      <c r="G4" s="71"/>
      <c r="H4" s="79" t="s">
        <v>52</v>
      </c>
      <c r="I4" s="80"/>
      <c r="J4" s="19"/>
    </row>
    <row r="5" spans="1:10" x14ac:dyDescent="0.2">
      <c r="A5" s="70"/>
      <c r="B5" s="71"/>
      <c r="C5" s="71"/>
      <c r="D5" s="71"/>
      <c r="E5" s="71"/>
      <c r="F5" s="71"/>
      <c r="G5" s="71"/>
      <c r="H5" s="71"/>
      <c r="I5" s="77"/>
      <c r="J5" s="19"/>
    </row>
    <row r="6" spans="1:10" x14ac:dyDescent="0.2">
      <c r="A6" s="78" t="s">
        <v>2</v>
      </c>
      <c r="B6" s="71"/>
      <c r="C6" s="79" t="str">
        <f>'Stavební rozpočet'!C6</f>
        <v>Zemědělská, Brno</v>
      </c>
      <c r="D6" s="71"/>
      <c r="E6" s="79" t="s">
        <v>34</v>
      </c>
      <c r="F6" s="79">
        <f>'Stavební rozpočet'!I6</f>
        <v>0</v>
      </c>
      <c r="G6" s="71"/>
      <c r="H6" s="79" t="s">
        <v>52</v>
      </c>
      <c r="I6" s="80"/>
      <c r="J6" s="19"/>
    </row>
    <row r="7" spans="1:10" x14ac:dyDescent="0.2">
      <c r="A7" s="70"/>
      <c r="B7" s="71"/>
      <c r="C7" s="71"/>
      <c r="D7" s="71"/>
      <c r="E7" s="71"/>
      <c r="F7" s="71"/>
      <c r="G7" s="71"/>
      <c r="H7" s="71"/>
      <c r="I7" s="77"/>
      <c r="J7" s="19"/>
    </row>
    <row r="8" spans="1:10" x14ac:dyDescent="0.2">
      <c r="A8" s="78" t="s">
        <v>3</v>
      </c>
      <c r="B8" s="71"/>
      <c r="C8" s="79" t="str">
        <f>'Stavební rozpočet'!F4</f>
        <v xml:space="preserve"> </v>
      </c>
      <c r="D8" s="71"/>
      <c r="E8" s="79" t="s">
        <v>35</v>
      </c>
      <c r="F8" s="79" t="str">
        <f>'Stavební rozpočet'!F6</f>
        <v xml:space="preserve"> </v>
      </c>
      <c r="G8" s="71"/>
      <c r="H8" s="81" t="s">
        <v>53</v>
      </c>
      <c r="I8" s="80" t="s">
        <v>56</v>
      </c>
      <c r="J8" s="19"/>
    </row>
    <row r="9" spans="1:10" x14ac:dyDescent="0.2">
      <c r="A9" s="70"/>
      <c r="B9" s="71"/>
      <c r="C9" s="71"/>
      <c r="D9" s="71"/>
      <c r="E9" s="71"/>
      <c r="F9" s="71"/>
      <c r="G9" s="71"/>
      <c r="H9" s="71"/>
      <c r="I9" s="77"/>
      <c r="J9" s="19"/>
    </row>
    <row r="10" spans="1:10" x14ac:dyDescent="0.2">
      <c r="A10" s="78" t="s">
        <v>4</v>
      </c>
      <c r="B10" s="71"/>
      <c r="C10" s="79" t="str">
        <f>'Stavební rozpočet'!C8</f>
        <v xml:space="preserve"> </v>
      </c>
      <c r="D10" s="71"/>
      <c r="E10" s="79" t="s">
        <v>36</v>
      </c>
      <c r="F10" s="79" t="str">
        <f>'Stavební rozpočet'!I8</f>
        <v>ing. Machovec</v>
      </c>
      <c r="G10" s="71"/>
      <c r="H10" s="81" t="s">
        <v>54</v>
      </c>
      <c r="I10" s="84" t="str">
        <f>'Stavební rozpočet'!F8</f>
        <v>14.05.2020</v>
      </c>
      <c r="J10" s="19"/>
    </row>
    <row r="11" spans="1:10" x14ac:dyDescent="0.2">
      <c r="A11" s="82"/>
      <c r="B11" s="83"/>
      <c r="C11" s="83"/>
      <c r="D11" s="83"/>
      <c r="E11" s="83"/>
      <c r="F11" s="83"/>
      <c r="G11" s="83"/>
      <c r="H11" s="83"/>
      <c r="I11" s="85"/>
      <c r="J11" s="19"/>
    </row>
    <row r="12" spans="1:10" ht="23.45" customHeight="1" x14ac:dyDescent="0.2">
      <c r="A12" s="86" t="s">
        <v>5</v>
      </c>
      <c r="B12" s="87"/>
      <c r="C12" s="87"/>
      <c r="D12" s="87"/>
      <c r="E12" s="87"/>
      <c r="F12" s="87"/>
      <c r="G12" s="87"/>
      <c r="H12" s="87"/>
      <c r="I12" s="87"/>
    </row>
    <row r="13" spans="1:10" ht="26.45" customHeight="1" x14ac:dyDescent="0.2">
      <c r="A13" s="2" t="s">
        <v>6</v>
      </c>
      <c r="B13" s="88" t="s">
        <v>19</v>
      </c>
      <c r="C13" s="89"/>
      <c r="D13" s="2" t="s">
        <v>23</v>
      </c>
      <c r="E13" s="88" t="s">
        <v>37</v>
      </c>
      <c r="F13" s="89"/>
      <c r="G13" s="2" t="s">
        <v>38</v>
      </c>
      <c r="H13" s="88" t="s">
        <v>55</v>
      </c>
      <c r="I13" s="89"/>
      <c r="J13" s="19"/>
    </row>
    <row r="14" spans="1:10" ht="15.2" customHeight="1" x14ac:dyDescent="0.2">
      <c r="A14" s="3" t="s">
        <v>7</v>
      </c>
      <c r="B14" s="8" t="s">
        <v>20</v>
      </c>
      <c r="C14" s="12">
        <f>SUM('Stavební rozpočet'!AB12:AB237)</f>
        <v>0</v>
      </c>
      <c r="D14" s="90" t="s">
        <v>24</v>
      </c>
      <c r="E14" s="91"/>
      <c r="F14" s="12">
        <v>0</v>
      </c>
      <c r="G14" s="90" t="s">
        <v>39</v>
      </c>
      <c r="H14" s="91"/>
      <c r="I14" s="12">
        <v>0</v>
      </c>
      <c r="J14" s="19"/>
    </row>
    <row r="15" spans="1:10" ht="15.2" customHeight="1" x14ac:dyDescent="0.2">
      <c r="A15" s="4"/>
      <c r="B15" s="8" t="s">
        <v>21</v>
      </c>
      <c r="C15" s="12">
        <f>SUM('Stavební rozpočet'!AC12:AC237)</f>
        <v>0</v>
      </c>
      <c r="D15" s="90" t="s">
        <v>25</v>
      </c>
      <c r="E15" s="91"/>
      <c r="F15" s="12">
        <v>0</v>
      </c>
      <c r="G15" s="90" t="s">
        <v>40</v>
      </c>
      <c r="H15" s="91"/>
      <c r="I15" s="12">
        <v>0</v>
      </c>
      <c r="J15" s="19"/>
    </row>
    <row r="16" spans="1:10" ht="15.2" customHeight="1" x14ac:dyDescent="0.2">
      <c r="A16" s="3" t="s">
        <v>8</v>
      </c>
      <c r="B16" s="8" t="s">
        <v>20</v>
      </c>
      <c r="C16" s="12">
        <f>SUM('Stavební rozpočet'!AD12:AD237)</f>
        <v>0</v>
      </c>
      <c r="D16" s="90" t="s">
        <v>26</v>
      </c>
      <c r="E16" s="91"/>
      <c r="F16" s="12">
        <v>0</v>
      </c>
      <c r="G16" s="90" t="s">
        <v>41</v>
      </c>
      <c r="H16" s="91"/>
      <c r="I16" s="12">
        <v>0</v>
      </c>
      <c r="J16" s="19"/>
    </row>
    <row r="17" spans="1:10" ht="15.2" customHeight="1" x14ac:dyDescent="0.2">
      <c r="A17" s="4"/>
      <c r="B17" s="8" t="s">
        <v>21</v>
      </c>
      <c r="C17" s="12">
        <f>SUM('Stavební rozpočet'!AE12:AE237)</f>
        <v>0</v>
      </c>
      <c r="D17" s="90"/>
      <c r="E17" s="91"/>
      <c r="F17" s="13"/>
      <c r="G17" s="90" t="s">
        <v>42</v>
      </c>
      <c r="H17" s="91"/>
      <c r="I17" s="12">
        <v>0</v>
      </c>
      <c r="J17" s="19"/>
    </row>
    <row r="18" spans="1:10" ht="15.2" customHeight="1" x14ac:dyDescent="0.2">
      <c r="A18" s="3" t="s">
        <v>9</v>
      </c>
      <c r="B18" s="8" t="s">
        <v>20</v>
      </c>
      <c r="C18" s="12">
        <f>SUM('Stavební rozpočet'!AF12:AF237)</f>
        <v>0</v>
      </c>
      <c r="D18" s="90"/>
      <c r="E18" s="91"/>
      <c r="F18" s="13"/>
      <c r="G18" s="90" t="s">
        <v>43</v>
      </c>
      <c r="H18" s="91"/>
      <c r="I18" s="12">
        <v>0</v>
      </c>
      <c r="J18" s="19"/>
    </row>
    <row r="19" spans="1:10" ht="15.2" customHeight="1" x14ac:dyDescent="0.2">
      <c r="A19" s="4"/>
      <c r="B19" s="8" t="s">
        <v>21</v>
      </c>
      <c r="C19" s="12">
        <f>SUM('Stavební rozpočet'!AG12:AG237)</f>
        <v>0</v>
      </c>
      <c r="D19" s="90"/>
      <c r="E19" s="91"/>
      <c r="F19" s="13"/>
      <c r="G19" s="90" t="s">
        <v>44</v>
      </c>
      <c r="H19" s="91"/>
      <c r="I19" s="12">
        <v>0</v>
      </c>
      <c r="J19" s="19"/>
    </row>
    <row r="20" spans="1:10" ht="15.2" customHeight="1" x14ac:dyDescent="0.2">
      <c r="A20" s="92" t="s">
        <v>10</v>
      </c>
      <c r="B20" s="93"/>
      <c r="C20" s="12">
        <f>SUM('Stavební rozpočet'!AH12:AH237)</f>
        <v>0</v>
      </c>
      <c r="D20" s="90"/>
      <c r="E20" s="91"/>
      <c r="F20" s="13"/>
      <c r="G20" s="90"/>
      <c r="H20" s="91"/>
      <c r="I20" s="13"/>
      <c r="J20" s="19"/>
    </row>
    <row r="21" spans="1:10" ht="15.2" customHeight="1" x14ac:dyDescent="0.2">
      <c r="A21" s="92" t="s">
        <v>11</v>
      </c>
      <c r="B21" s="93"/>
      <c r="C21" s="12">
        <f>SUM('Stavební rozpočet'!Z12:Z237)</f>
        <v>0</v>
      </c>
      <c r="D21" s="90"/>
      <c r="E21" s="91"/>
      <c r="F21" s="13"/>
      <c r="G21" s="90"/>
      <c r="H21" s="91"/>
      <c r="I21" s="13"/>
      <c r="J21" s="19"/>
    </row>
    <row r="22" spans="1:10" ht="16.7" customHeight="1" x14ac:dyDescent="0.2">
      <c r="A22" s="92" t="s">
        <v>12</v>
      </c>
      <c r="B22" s="93"/>
      <c r="C22" s="12">
        <f>ROUND(SUM(C14:C21),1)</f>
        <v>0</v>
      </c>
      <c r="D22" s="92" t="s">
        <v>27</v>
      </c>
      <c r="E22" s="93"/>
      <c r="F22" s="12">
        <f>SUM(F14:F21)</f>
        <v>0</v>
      </c>
      <c r="G22" s="92" t="s">
        <v>45</v>
      </c>
      <c r="H22" s="93"/>
      <c r="I22" s="12">
        <f>SUM(I14:I21)</f>
        <v>0</v>
      </c>
      <c r="J22" s="19"/>
    </row>
    <row r="23" spans="1:10" ht="15.2" customHeight="1" x14ac:dyDescent="0.2">
      <c r="A23" s="5"/>
      <c r="B23" s="5"/>
      <c r="C23" s="10"/>
      <c r="D23" s="92" t="s">
        <v>28</v>
      </c>
      <c r="E23" s="93"/>
      <c r="F23" s="14">
        <v>0</v>
      </c>
      <c r="G23" s="92" t="s">
        <v>46</v>
      </c>
      <c r="H23" s="93"/>
      <c r="I23" s="12">
        <v>0</v>
      </c>
      <c r="J23" s="19"/>
    </row>
    <row r="24" spans="1:10" ht="15.2" customHeight="1" x14ac:dyDescent="0.2">
      <c r="D24" s="5"/>
      <c r="E24" s="5"/>
      <c r="F24" s="15"/>
      <c r="G24" s="92" t="s">
        <v>47</v>
      </c>
      <c r="H24" s="93"/>
      <c r="I24" s="18"/>
    </row>
    <row r="25" spans="1:10" ht="15.2" customHeight="1" x14ac:dyDescent="0.2">
      <c r="F25" s="16"/>
      <c r="G25" s="92" t="s">
        <v>48</v>
      </c>
      <c r="H25" s="93"/>
      <c r="I25" s="12">
        <v>0</v>
      </c>
      <c r="J25" s="19"/>
    </row>
    <row r="26" spans="1:10" x14ac:dyDescent="0.2">
      <c r="A26" s="1"/>
      <c r="B26" s="1"/>
      <c r="C26" s="1"/>
      <c r="G26" s="5"/>
      <c r="H26" s="5"/>
      <c r="I26" s="5"/>
    </row>
    <row r="27" spans="1:10" ht="15.2" customHeight="1" x14ac:dyDescent="0.2">
      <c r="A27" s="94" t="s">
        <v>13</v>
      </c>
      <c r="B27" s="95"/>
      <c r="C27" s="21">
        <f>ROUND(SUM('Stavební rozpočet'!AJ12:AJ237),1)</f>
        <v>0</v>
      </c>
      <c r="D27" s="11"/>
      <c r="E27" s="1"/>
      <c r="F27" s="1"/>
      <c r="G27" s="1"/>
      <c r="H27" s="1"/>
      <c r="I27" s="1"/>
    </row>
    <row r="28" spans="1:10" ht="15.2" customHeight="1" x14ac:dyDescent="0.2">
      <c r="A28" s="94" t="s">
        <v>14</v>
      </c>
      <c r="B28" s="95"/>
      <c r="C28" s="21">
        <f>ROUND(SUM('Stavební rozpočet'!AK12:AK237),1)</f>
        <v>0</v>
      </c>
      <c r="D28" s="94" t="s">
        <v>29</v>
      </c>
      <c r="E28" s="95"/>
      <c r="F28" s="21">
        <f>ROUND(C28*(15/100),2)</f>
        <v>0</v>
      </c>
      <c r="G28" s="94" t="s">
        <v>49</v>
      </c>
      <c r="H28" s="95"/>
      <c r="I28" s="21">
        <f>ROUND(SUM(C27:C29),1)</f>
        <v>0</v>
      </c>
      <c r="J28" s="19"/>
    </row>
    <row r="29" spans="1:10" ht="15.2" customHeight="1" x14ac:dyDescent="0.2">
      <c r="A29" s="94" t="s">
        <v>15</v>
      </c>
      <c r="B29" s="95"/>
      <c r="C29" s="21">
        <f>ROUND(SUM('Stavební rozpočet'!AL12:AL237)+(F22+I22+F23+I23+I24+I25),1)</f>
        <v>0</v>
      </c>
      <c r="D29" s="94" t="s">
        <v>30</v>
      </c>
      <c r="E29" s="95"/>
      <c r="F29" s="21">
        <f>ROUND(C29*(21/100),2)</f>
        <v>0</v>
      </c>
      <c r="G29" s="94" t="s">
        <v>50</v>
      </c>
      <c r="H29" s="95"/>
      <c r="I29" s="21">
        <f>ROUND(SUM(F28:F29)+I28,1)</f>
        <v>0</v>
      </c>
      <c r="J29" s="19"/>
    </row>
    <row r="30" spans="1:10" x14ac:dyDescent="0.2">
      <c r="A30" s="6"/>
      <c r="B30" s="6"/>
      <c r="C30" s="6"/>
      <c r="D30" s="6"/>
      <c r="E30" s="6"/>
      <c r="F30" s="6"/>
      <c r="G30" s="6"/>
      <c r="H30" s="6"/>
      <c r="I30" s="6"/>
    </row>
    <row r="31" spans="1:10" ht="14.45" customHeight="1" x14ac:dyDescent="0.2">
      <c r="A31" s="96" t="s">
        <v>16</v>
      </c>
      <c r="B31" s="97"/>
      <c r="C31" s="98"/>
      <c r="D31" s="96" t="s">
        <v>31</v>
      </c>
      <c r="E31" s="97"/>
      <c r="F31" s="98"/>
      <c r="G31" s="96" t="s">
        <v>51</v>
      </c>
      <c r="H31" s="97"/>
      <c r="I31" s="98"/>
      <c r="J31" s="20"/>
    </row>
    <row r="32" spans="1:10" ht="14.45" customHeight="1" x14ac:dyDescent="0.2">
      <c r="A32" s="99"/>
      <c r="B32" s="100"/>
      <c r="C32" s="101"/>
      <c r="D32" s="99"/>
      <c r="E32" s="100"/>
      <c r="F32" s="101"/>
      <c r="G32" s="99"/>
      <c r="H32" s="100"/>
      <c r="I32" s="101"/>
      <c r="J32" s="20"/>
    </row>
    <row r="33" spans="1:10" ht="14.45" customHeight="1" x14ac:dyDescent="0.2">
      <c r="A33" s="99"/>
      <c r="B33" s="100"/>
      <c r="C33" s="101"/>
      <c r="D33" s="99"/>
      <c r="E33" s="100"/>
      <c r="F33" s="101"/>
      <c r="G33" s="99"/>
      <c r="H33" s="100"/>
      <c r="I33" s="101"/>
      <c r="J33" s="20"/>
    </row>
    <row r="34" spans="1:10" ht="14.45" customHeight="1" x14ac:dyDescent="0.2">
      <c r="A34" s="99"/>
      <c r="B34" s="100"/>
      <c r="C34" s="101"/>
      <c r="D34" s="99"/>
      <c r="E34" s="100"/>
      <c r="F34" s="101"/>
      <c r="G34" s="99"/>
      <c r="H34" s="100"/>
      <c r="I34" s="101"/>
      <c r="J34" s="20"/>
    </row>
    <row r="35" spans="1:10" ht="14.45" customHeight="1" x14ac:dyDescent="0.2">
      <c r="A35" s="102" t="s">
        <v>17</v>
      </c>
      <c r="B35" s="103"/>
      <c r="C35" s="104"/>
      <c r="D35" s="102" t="s">
        <v>17</v>
      </c>
      <c r="E35" s="103"/>
      <c r="F35" s="104"/>
      <c r="G35" s="102" t="s">
        <v>17</v>
      </c>
      <c r="H35" s="103"/>
      <c r="I35" s="104"/>
      <c r="J35" s="20"/>
    </row>
    <row r="36" spans="1:10" ht="11.25" customHeight="1" x14ac:dyDescent="0.2">
      <c r="A36" s="7" t="s">
        <v>18</v>
      </c>
      <c r="B36" s="9"/>
      <c r="C36" s="9"/>
      <c r="D36" s="9"/>
      <c r="E36" s="9"/>
      <c r="F36" s="9"/>
      <c r="G36" s="9"/>
      <c r="H36" s="9"/>
      <c r="I36" s="9"/>
    </row>
    <row r="37" spans="1:10" x14ac:dyDescent="0.2">
      <c r="A37" s="79"/>
      <c r="B37" s="71"/>
      <c r="C37" s="71"/>
      <c r="D37" s="71"/>
      <c r="E37" s="71"/>
      <c r="F37" s="71"/>
      <c r="G37" s="71"/>
      <c r="H37" s="71"/>
      <c r="I37" s="71"/>
    </row>
  </sheetData>
  <sheetProtection algorithmName="SHA-512" hashValue="+gYwMm7scGcosrBon9Ynr0w6NROgTkDwBUXoPipGguxkmAzR3rqOEbGVozwRT6jVtxQr0t5+MqvuI7jtaVgUXg==" saltValue="rdxWjO9WjarREu0kFvuAkQ==" spinCount="100000" sheet="1" objects="1" scenarios="1"/>
  <mergeCells count="83">
    <mergeCell ref="A37:I37"/>
    <mergeCell ref="A34:C34"/>
    <mergeCell ref="D34:F34"/>
    <mergeCell ref="G34:I34"/>
    <mergeCell ref="A35:C35"/>
    <mergeCell ref="D35:F35"/>
    <mergeCell ref="G35:I35"/>
    <mergeCell ref="A32:C32"/>
    <mergeCell ref="D32:F32"/>
    <mergeCell ref="G32:I32"/>
    <mergeCell ref="A33:C33"/>
    <mergeCell ref="D33:F33"/>
    <mergeCell ref="G33:I33"/>
    <mergeCell ref="A29:B29"/>
    <mergeCell ref="D29:E29"/>
    <mergeCell ref="G29:H29"/>
    <mergeCell ref="A31:C31"/>
    <mergeCell ref="D31:F31"/>
    <mergeCell ref="G31:I31"/>
    <mergeCell ref="D23:E23"/>
    <mergeCell ref="G23:H23"/>
    <mergeCell ref="G24:H24"/>
    <mergeCell ref="G25:H25"/>
    <mergeCell ref="A27:B27"/>
    <mergeCell ref="A28:B28"/>
    <mergeCell ref="D28:E28"/>
    <mergeCell ref="G28:H28"/>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A10:B11"/>
    <mergeCell ref="C10:D11"/>
    <mergeCell ref="E10:E11"/>
    <mergeCell ref="F10:G11"/>
    <mergeCell ref="H10:H11"/>
    <mergeCell ref="I10:I11"/>
    <mergeCell ref="A8:B9"/>
    <mergeCell ref="C8:D9"/>
    <mergeCell ref="E8:E9"/>
    <mergeCell ref="F8:G9"/>
    <mergeCell ref="H8:H9"/>
    <mergeCell ref="I8:I9"/>
    <mergeCell ref="A6:B7"/>
    <mergeCell ref="C6:D7"/>
    <mergeCell ref="E6:E7"/>
    <mergeCell ref="F6:G7"/>
    <mergeCell ref="H6:H7"/>
    <mergeCell ref="I6:I7"/>
    <mergeCell ref="A4:B5"/>
    <mergeCell ref="C4:D5"/>
    <mergeCell ref="E4:E5"/>
    <mergeCell ref="F4:G5"/>
    <mergeCell ref="H4:H5"/>
    <mergeCell ref="I4:I5"/>
    <mergeCell ref="C1:I1"/>
    <mergeCell ref="A2:B3"/>
    <mergeCell ref="C2:D3"/>
    <mergeCell ref="E2:E3"/>
    <mergeCell ref="F2:G3"/>
    <mergeCell ref="H2:H3"/>
    <mergeCell ref="I2:I3"/>
  </mergeCells>
  <pageMargins left="0.39400000000000002" right="0.39400000000000002" top="0.59099999999999997" bottom="0.59099999999999997" header="0.5" footer="0.5"/>
  <pageSetup paperSize="0" orientation="landscape"/>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
  <sheetViews>
    <sheetView topLeftCell="E1" workbookViewId="0">
      <pane ySplit="11" topLeftCell="A12" activePane="bottomLeft" state="frozenSplit"/>
      <selection pane="bottomLeft" sqref="A1:L1"/>
    </sheetView>
  </sheetViews>
  <sheetFormatPr defaultColWidth="11.5703125" defaultRowHeight="12.75" x14ac:dyDescent="0.2"/>
  <cols>
    <col min="1" max="1" width="6.85546875" customWidth="1"/>
    <col min="2" max="2" width="4.5703125" customWidth="1"/>
    <col min="3" max="3" width="13.28515625" customWidth="1"/>
    <col min="4" max="4" width="34.140625" customWidth="1"/>
    <col min="5" max="5" width="4.28515625" customWidth="1"/>
    <col min="6" max="6" width="10.85546875" customWidth="1"/>
    <col min="7" max="7" width="12" customWidth="1"/>
    <col min="8" max="8" width="14.28515625" customWidth="1"/>
    <col min="10" max="12" width="14.28515625" customWidth="1"/>
    <col min="13" max="16" width="12.140625" hidden="1" customWidth="1"/>
  </cols>
  <sheetData>
    <row r="1" spans="1:16" ht="72.95" customHeight="1" x14ac:dyDescent="0.35">
      <c r="A1" s="105" t="s">
        <v>57</v>
      </c>
      <c r="B1" s="67"/>
      <c r="C1" s="67"/>
      <c r="D1" s="67"/>
      <c r="E1" s="67"/>
      <c r="F1" s="67"/>
      <c r="G1" s="67"/>
      <c r="H1" s="67"/>
      <c r="I1" s="67"/>
      <c r="J1" s="67"/>
      <c r="K1" s="67"/>
      <c r="L1" s="67"/>
    </row>
    <row r="2" spans="1:16" x14ac:dyDescent="0.2">
      <c r="A2" s="68" t="s">
        <v>0</v>
      </c>
      <c r="B2" s="69"/>
      <c r="C2" s="69"/>
      <c r="D2" s="72" t="str">
        <f>'Stavební rozpočet'!C2</f>
        <v>Modernizace sociálního zařízení v P1, obj. C</v>
      </c>
      <c r="E2" s="75" t="s">
        <v>65</v>
      </c>
      <c r="F2" s="69"/>
      <c r="G2" s="75" t="str">
        <f>'Stavební rozpočet'!F2</f>
        <v xml:space="preserve"> </v>
      </c>
      <c r="H2" s="69"/>
      <c r="I2" s="75" t="s">
        <v>32</v>
      </c>
      <c r="J2" s="75" t="str">
        <f>'Stavební rozpočet'!I2</f>
        <v>Mendelova univerzita v Brně</v>
      </c>
      <c r="K2" s="69"/>
      <c r="L2" s="106"/>
      <c r="M2" s="19"/>
    </row>
    <row r="3" spans="1:16" x14ac:dyDescent="0.2">
      <c r="A3" s="70"/>
      <c r="B3" s="71"/>
      <c r="C3" s="71"/>
      <c r="D3" s="74"/>
      <c r="E3" s="71"/>
      <c r="F3" s="71"/>
      <c r="G3" s="71"/>
      <c r="H3" s="71"/>
      <c r="I3" s="71"/>
      <c r="J3" s="71"/>
      <c r="K3" s="71"/>
      <c r="L3" s="77"/>
      <c r="M3" s="19"/>
    </row>
    <row r="4" spans="1:16" x14ac:dyDescent="0.2">
      <c r="A4" s="78" t="s">
        <v>1</v>
      </c>
      <c r="B4" s="71"/>
      <c r="C4" s="71"/>
      <c r="D4" s="79" t="str">
        <f>'Stavební rozpočet'!C4</f>
        <v>ZTI+ÚT</v>
      </c>
      <c r="E4" s="79" t="s">
        <v>3</v>
      </c>
      <c r="F4" s="71"/>
      <c r="G4" s="79" t="str">
        <f>'Stavební rozpočet'!F4</f>
        <v xml:space="preserve"> </v>
      </c>
      <c r="H4" s="71"/>
      <c r="I4" s="79" t="s">
        <v>33</v>
      </c>
      <c r="J4" s="79" t="str">
        <f>'Stavební rozpočet'!I4</f>
        <v>ing. Machovec</v>
      </c>
      <c r="K4" s="71"/>
      <c r="L4" s="77"/>
      <c r="M4" s="19"/>
    </row>
    <row r="5" spans="1:16" x14ac:dyDescent="0.2">
      <c r="A5" s="70"/>
      <c r="B5" s="71"/>
      <c r="C5" s="71"/>
      <c r="D5" s="71"/>
      <c r="E5" s="71"/>
      <c r="F5" s="71"/>
      <c r="G5" s="71"/>
      <c r="H5" s="71"/>
      <c r="I5" s="71"/>
      <c r="J5" s="71"/>
      <c r="K5" s="71"/>
      <c r="L5" s="77"/>
      <c r="M5" s="19"/>
    </row>
    <row r="6" spans="1:16" x14ac:dyDescent="0.2">
      <c r="A6" s="78" t="s">
        <v>2</v>
      </c>
      <c r="B6" s="71"/>
      <c r="C6" s="71"/>
      <c r="D6" s="79" t="str">
        <f>'Stavební rozpočet'!C6</f>
        <v>Zemědělská, Brno</v>
      </c>
      <c r="E6" s="79" t="s">
        <v>35</v>
      </c>
      <c r="F6" s="71"/>
      <c r="G6" s="79" t="str">
        <f>'Stavební rozpočet'!F6</f>
        <v xml:space="preserve"> </v>
      </c>
      <c r="H6" s="71"/>
      <c r="I6" s="79" t="s">
        <v>34</v>
      </c>
      <c r="J6" s="79">
        <f>'Stavební rozpočet'!I6</f>
        <v>0</v>
      </c>
      <c r="K6" s="71"/>
      <c r="L6" s="77"/>
      <c r="M6" s="19"/>
    </row>
    <row r="7" spans="1:16" x14ac:dyDescent="0.2">
      <c r="A7" s="70"/>
      <c r="B7" s="71"/>
      <c r="C7" s="71"/>
      <c r="D7" s="71"/>
      <c r="E7" s="71"/>
      <c r="F7" s="71"/>
      <c r="G7" s="71"/>
      <c r="H7" s="71"/>
      <c r="I7" s="71"/>
      <c r="J7" s="71"/>
      <c r="K7" s="71"/>
      <c r="L7" s="77"/>
      <c r="M7" s="19"/>
    </row>
    <row r="8" spans="1:16" x14ac:dyDescent="0.2">
      <c r="A8" s="78" t="s">
        <v>4</v>
      </c>
      <c r="B8" s="71"/>
      <c r="C8" s="71"/>
      <c r="D8" s="79" t="str">
        <f>'Stavební rozpočet'!C8</f>
        <v xml:space="preserve"> </v>
      </c>
      <c r="E8" s="79" t="s">
        <v>66</v>
      </c>
      <c r="F8" s="71"/>
      <c r="G8" s="79" t="str">
        <f>'Stavební rozpočet'!F8</f>
        <v>14.05.2020</v>
      </c>
      <c r="H8" s="71"/>
      <c r="I8" s="79" t="s">
        <v>36</v>
      </c>
      <c r="J8" s="79" t="str">
        <f>'Stavební rozpočet'!I8</f>
        <v>ing. Machovec</v>
      </c>
      <c r="K8" s="71"/>
      <c r="L8" s="77"/>
      <c r="M8" s="19"/>
    </row>
    <row r="9" spans="1:16" x14ac:dyDescent="0.2">
      <c r="A9" s="107"/>
      <c r="B9" s="108"/>
      <c r="C9" s="108"/>
      <c r="D9" s="108"/>
      <c r="E9" s="108"/>
      <c r="F9" s="108"/>
      <c r="G9" s="108"/>
      <c r="H9" s="108"/>
      <c r="I9" s="108"/>
      <c r="J9" s="108"/>
      <c r="K9" s="108"/>
      <c r="L9" s="109"/>
      <c r="M9" s="19"/>
    </row>
    <row r="10" spans="1:16" x14ac:dyDescent="0.2">
      <c r="A10" s="22" t="s">
        <v>58</v>
      </c>
      <c r="B10" s="110" t="s">
        <v>58</v>
      </c>
      <c r="C10" s="111"/>
      <c r="D10" s="111"/>
      <c r="E10" s="111"/>
      <c r="F10" s="111"/>
      <c r="G10" s="111"/>
      <c r="H10" s="111"/>
      <c r="I10" s="112"/>
      <c r="J10" s="113" t="s">
        <v>67</v>
      </c>
      <c r="K10" s="114"/>
      <c r="L10" s="115"/>
      <c r="M10" s="20"/>
    </row>
    <row r="11" spans="1:16" x14ac:dyDescent="0.2">
      <c r="A11" s="23" t="s">
        <v>59</v>
      </c>
      <c r="B11" s="116" t="s">
        <v>62</v>
      </c>
      <c r="C11" s="117"/>
      <c r="D11" s="117"/>
      <c r="E11" s="117"/>
      <c r="F11" s="117"/>
      <c r="G11" s="117"/>
      <c r="H11" s="117"/>
      <c r="I11" s="118"/>
      <c r="J11" s="27" t="s">
        <v>68</v>
      </c>
      <c r="K11" s="28" t="s">
        <v>21</v>
      </c>
      <c r="L11" s="29" t="s">
        <v>70</v>
      </c>
      <c r="M11" s="20"/>
    </row>
    <row r="12" spans="1:16" x14ac:dyDescent="0.2">
      <c r="A12" s="24" t="s">
        <v>60</v>
      </c>
      <c r="B12" s="119" t="s">
        <v>63</v>
      </c>
      <c r="C12" s="111"/>
      <c r="D12" s="111"/>
      <c r="E12" s="111"/>
      <c r="F12" s="111"/>
      <c r="G12" s="111"/>
      <c r="H12" s="111"/>
      <c r="I12" s="111"/>
      <c r="J12" s="31">
        <f>'Stavební rozpočet'!I12</f>
        <v>0</v>
      </c>
      <c r="K12" s="31">
        <f>'Stavební rozpočet'!J12</f>
        <v>0</v>
      </c>
      <c r="L12" s="31">
        <f>'Stavební rozpočet'!K12</f>
        <v>0</v>
      </c>
      <c r="M12" s="30" t="s">
        <v>71</v>
      </c>
      <c r="N12" s="30">
        <f>IF(M12="F",0,L12)</f>
        <v>0</v>
      </c>
      <c r="O12" s="17" t="s">
        <v>60</v>
      </c>
      <c r="P12" s="30">
        <f>IF(M12="T",0,L12)</f>
        <v>0</v>
      </c>
    </row>
    <row r="13" spans="1:16" x14ac:dyDescent="0.2">
      <c r="A13" s="25" t="s">
        <v>61</v>
      </c>
      <c r="B13" s="120" t="s">
        <v>64</v>
      </c>
      <c r="C13" s="83"/>
      <c r="D13" s="83"/>
      <c r="E13" s="83"/>
      <c r="F13" s="83"/>
      <c r="G13" s="83"/>
      <c r="H13" s="83"/>
      <c r="I13" s="83"/>
      <c r="J13" s="32">
        <f>'Stavební rozpočet'!I167</f>
        <v>0</v>
      </c>
      <c r="K13" s="32">
        <f>'Stavební rozpočet'!J167</f>
        <v>0</v>
      </c>
      <c r="L13" s="32">
        <f>'Stavební rozpočet'!K167</f>
        <v>0</v>
      </c>
      <c r="M13" s="30" t="s">
        <v>71</v>
      </c>
      <c r="N13" s="30">
        <f>IF(M13="F",0,L13)</f>
        <v>0</v>
      </c>
      <c r="O13" s="17" t="s">
        <v>61</v>
      </c>
      <c r="P13" s="30">
        <f>IF(M13="T",0,L13)</f>
        <v>0</v>
      </c>
    </row>
    <row r="14" spans="1:16" x14ac:dyDescent="0.2">
      <c r="A14" s="5"/>
      <c r="B14" s="5"/>
      <c r="C14" s="5"/>
      <c r="D14" s="5"/>
      <c r="E14" s="5"/>
      <c r="F14" s="5"/>
      <c r="G14" s="5"/>
      <c r="H14" s="5"/>
      <c r="I14" s="5"/>
      <c r="J14" s="121" t="s">
        <v>69</v>
      </c>
      <c r="K14" s="73"/>
      <c r="L14" s="33">
        <f>ROUND(SUM(P12:P13),1)</f>
        <v>0</v>
      </c>
    </row>
    <row r="15" spans="1:16" ht="11.25" customHeight="1" x14ac:dyDescent="0.2">
      <c r="A15" s="26" t="s">
        <v>18</v>
      </c>
    </row>
    <row r="16" spans="1:16" x14ac:dyDescent="0.2">
      <c r="A16" s="79"/>
      <c r="B16" s="71"/>
      <c r="C16" s="71"/>
      <c r="D16" s="71"/>
      <c r="E16" s="71"/>
      <c r="F16" s="71"/>
      <c r="G16" s="71"/>
      <c r="H16" s="71"/>
      <c r="I16" s="71"/>
      <c r="J16" s="71"/>
      <c r="K16" s="71"/>
    </row>
  </sheetData>
  <sheetProtection algorithmName="SHA-512" hashValue="q5JEuScUBhDzDfvZcJmsHlavpnutRyUn1a1HIEiYatIrGP36NFRJoDSSU8MRsKn9aOIvYJo+zQOlDvNbSP0jfg==" saltValue="IupwJIZ7eVnKX1+wywiqvg==" spinCount="100000" sheet="1" objects="1" scenarios="1"/>
  <mergeCells count="32">
    <mergeCell ref="A16:K16"/>
    <mergeCell ref="B10:I10"/>
    <mergeCell ref="J10:L10"/>
    <mergeCell ref="B11:I11"/>
    <mergeCell ref="B12:I12"/>
    <mergeCell ref="B13:I13"/>
    <mergeCell ref="J14:K14"/>
    <mergeCell ref="A8:C9"/>
    <mergeCell ref="D8:D9"/>
    <mergeCell ref="E8:F9"/>
    <mergeCell ref="G8:H9"/>
    <mergeCell ref="I8:I9"/>
    <mergeCell ref="J8:L9"/>
    <mergeCell ref="A6:C7"/>
    <mergeCell ref="D6:D7"/>
    <mergeCell ref="E6:F7"/>
    <mergeCell ref="G6:H7"/>
    <mergeCell ref="I6:I7"/>
    <mergeCell ref="J6:L7"/>
    <mergeCell ref="A4:C5"/>
    <mergeCell ref="D4:D5"/>
    <mergeCell ref="E4:F5"/>
    <mergeCell ref="G4:H5"/>
    <mergeCell ref="I4:I5"/>
    <mergeCell ref="J4:L5"/>
    <mergeCell ref="A1:L1"/>
    <mergeCell ref="A2:C3"/>
    <mergeCell ref="D2:D3"/>
    <mergeCell ref="E2:F3"/>
    <mergeCell ref="G2:H3"/>
    <mergeCell ref="I2:I3"/>
    <mergeCell ref="J2:L3"/>
  </mergeCells>
  <pageMargins left="0.39400000000000002" right="0.39400000000000002" top="0.59099999999999997" bottom="0.59099999999999997" header="0.5" footer="0.5"/>
  <pageSetup paperSize="0" fitToHeight="0" orientation="landscape"/>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opLeftCell="E1" workbookViewId="0">
      <pane ySplit="11" topLeftCell="A12" activePane="bottomLeft" state="frozenSplit"/>
      <selection pane="bottomLeft" sqref="A1:L1"/>
    </sheetView>
  </sheetViews>
  <sheetFormatPr defaultColWidth="11.5703125" defaultRowHeight="12.75" x14ac:dyDescent="0.2"/>
  <cols>
    <col min="1" max="1" width="6.85546875" customWidth="1"/>
    <col min="2" max="2" width="4.5703125" customWidth="1"/>
    <col min="3" max="3" width="13.28515625" customWidth="1"/>
    <col min="4" max="4" width="34.140625" customWidth="1"/>
    <col min="5" max="5" width="4.28515625" customWidth="1"/>
    <col min="6" max="6" width="10.85546875" customWidth="1"/>
    <col min="7" max="7" width="12" customWidth="1"/>
    <col min="8" max="8" width="14.28515625" customWidth="1"/>
    <col min="10" max="12" width="14.28515625" customWidth="1"/>
    <col min="13" max="16" width="12.140625" hidden="1" customWidth="1"/>
  </cols>
  <sheetData>
    <row r="1" spans="1:16" ht="72.95" customHeight="1" x14ac:dyDescent="0.35">
      <c r="A1" s="105" t="s">
        <v>72</v>
      </c>
      <c r="B1" s="67"/>
      <c r="C1" s="67"/>
      <c r="D1" s="67"/>
      <c r="E1" s="67"/>
      <c r="F1" s="67"/>
      <c r="G1" s="67"/>
      <c r="H1" s="67"/>
      <c r="I1" s="67"/>
      <c r="J1" s="67"/>
      <c r="K1" s="67"/>
      <c r="L1" s="67"/>
    </row>
    <row r="2" spans="1:16" x14ac:dyDescent="0.2">
      <c r="A2" s="68" t="s">
        <v>0</v>
      </c>
      <c r="B2" s="69"/>
      <c r="C2" s="69"/>
      <c r="D2" s="72" t="str">
        <f>'Stavební rozpočet'!C2</f>
        <v>Modernizace sociálního zařízení v P1, obj. C</v>
      </c>
      <c r="E2" s="75" t="s">
        <v>65</v>
      </c>
      <c r="F2" s="69"/>
      <c r="G2" s="75" t="str">
        <f>'Stavební rozpočet'!F2</f>
        <v xml:space="preserve"> </v>
      </c>
      <c r="H2" s="69"/>
      <c r="I2" s="75" t="s">
        <v>32</v>
      </c>
      <c r="J2" s="75" t="str">
        <f>'Stavební rozpočet'!I2</f>
        <v>Mendelova univerzita v Brně</v>
      </c>
      <c r="K2" s="69"/>
      <c r="L2" s="106"/>
      <c r="M2" s="19"/>
    </row>
    <row r="3" spans="1:16" x14ac:dyDescent="0.2">
      <c r="A3" s="70"/>
      <c r="B3" s="71"/>
      <c r="C3" s="71"/>
      <c r="D3" s="74"/>
      <c r="E3" s="71"/>
      <c r="F3" s="71"/>
      <c r="G3" s="71"/>
      <c r="H3" s="71"/>
      <c r="I3" s="71"/>
      <c r="J3" s="71"/>
      <c r="K3" s="71"/>
      <c r="L3" s="77"/>
      <c r="M3" s="19"/>
    </row>
    <row r="4" spans="1:16" x14ac:dyDescent="0.2">
      <c r="A4" s="78" t="s">
        <v>1</v>
      </c>
      <c r="B4" s="71"/>
      <c r="C4" s="71"/>
      <c r="D4" s="79" t="str">
        <f>'Stavební rozpočet'!C4</f>
        <v>ZTI+ÚT</v>
      </c>
      <c r="E4" s="79" t="s">
        <v>3</v>
      </c>
      <c r="F4" s="71"/>
      <c r="G4" s="79" t="str">
        <f>'Stavební rozpočet'!F4</f>
        <v xml:space="preserve"> </v>
      </c>
      <c r="H4" s="71"/>
      <c r="I4" s="79" t="s">
        <v>33</v>
      </c>
      <c r="J4" s="79" t="str">
        <f>'Stavební rozpočet'!I4</f>
        <v>ing. Machovec</v>
      </c>
      <c r="K4" s="71"/>
      <c r="L4" s="77"/>
      <c r="M4" s="19"/>
    </row>
    <row r="5" spans="1:16" x14ac:dyDescent="0.2">
      <c r="A5" s="70"/>
      <c r="B5" s="71"/>
      <c r="C5" s="71"/>
      <c r="D5" s="71"/>
      <c r="E5" s="71"/>
      <c r="F5" s="71"/>
      <c r="G5" s="71"/>
      <c r="H5" s="71"/>
      <c r="I5" s="71"/>
      <c r="J5" s="71"/>
      <c r="K5" s="71"/>
      <c r="L5" s="77"/>
      <c r="M5" s="19"/>
    </row>
    <row r="6" spans="1:16" x14ac:dyDescent="0.2">
      <c r="A6" s="78" t="s">
        <v>2</v>
      </c>
      <c r="B6" s="71"/>
      <c r="C6" s="71"/>
      <c r="D6" s="79" t="str">
        <f>'Stavební rozpočet'!C6</f>
        <v>Zemědělská, Brno</v>
      </c>
      <c r="E6" s="79" t="s">
        <v>35</v>
      </c>
      <c r="F6" s="71"/>
      <c r="G6" s="79" t="str">
        <f>'Stavební rozpočet'!F6</f>
        <v xml:space="preserve"> </v>
      </c>
      <c r="H6" s="71"/>
      <c r="I6" s="79" t="s">
        <v>34</v>
      </c>
      <c r="J6" s="79">
        <f>'Stavební rozpočet'!I6</f>
        <v>0</v>
      </c>
      <c r="K6" s="71"/>
      <c r="L6" s="77"/>
      <c r="M6" s="19"/>
    </row>
    <row r="7" spans="1:16" x14ac:dyDescent="0.2">
      <c r="A7" s="70"/>
      <c r="B7" s="71"/>
      <c r="C7" s="71"/>
      <c r="D7" s="71"/>
      <c r="E7" s="71"/>
      <c r="F7" s="71"/>
      <c r="G7" s="71"/>
      <c r="H7" s="71"/>
      <c r="I7" s="71"/>
      <c r="J7" s="71"/>
      <c r="K7" s="71"/>
      <c r="L7" s="77"/>
      <c r="M7" s="19"/>
    </row>
    <row r="8" spans="1:16" x14ac:dyDescent="0.2">
      <c r="A8" s="78" t="s">
        <v>4</v>
      </c>
      <c r="B8" s="71"/>
      <c r="C8" s="71"/>
      <c r="D8" s="79" t="str">
        <f>'Stavební rozpočet'!C8</f>
        <v xml:space="preserve"> </v>
      </c>
      <c r="E8" s="79" t="s">
        <v>66</v>
      </c>
      <c r="F8" s="71"/>
      <c r="G8" s="79" t="str">
        <f>'Stavební rozpočet'!F8</f>
        <v>14.05.2020</v>
      </c>
      <c r="H8" s="71"/>
      <c r="I8" s="79" t="s">
        <v>36</v>
      </c>
      <c r="J8" s="79" t="str">
        <f>'Stavební rozpočet'!I8</f>
        <v>ing. Machovec</v>
      </c>
      <c r="K8" s="71"/>
      <c r="L8" s="77"/>
      <c r="M8" s="19"/>
    </row>
    <row r="9" spans="1:16" x14ac:dyDescent="0.2">
      <c r="A9" s="107"/>
      <c r="B9" s="108"/>
      <c r="C9" s="108"/>
      <c r="D9" s="108"/>
      <c r="E9" s="108"/>
      <c r="F9" s="108"/>
      <c r="G9" s="108"/>
      <c r="H9" s="108"/>
      <c r="I9" s="108"/>
      <c r="J9" s="108"/>
      <c r="K9" s="108"/>
      <c r="L9" s="109"/>
      <c r="M9" s="19"/>
    </row>
    <row r="10" spans="1:16" x14ac:dyDescent="0.2">
      <c r="A10" s="22" t="s">
        <v>58</v>
      </c>
      <c r="B10" s="22" t="s">
        <v>58</v>
      </c>
      <c r="C10" s="110" t="s">
        <v>58</v>
      </c>
      <c r="D10" s="111"/>
      <c r="E10" s="111"/>
      <c r="F10" s="111"/>
      <c r="G10" s="111"/>
      <c r="H10" s="111"/>
      <c r="I10" s="112"/>
      <c r="J10" s="113" t="s">
        <v>67</v>
      </c>
      <c r="K10" s="114"/>
      <c r="L10" s="115"/>
      <c r="M10" s="20"/>
    </row>
    <row r="11" spans="1:16" x14ac:dyDescent="0.2">
      <c r="A11" s="23" t="s">
        <v>59</v>
      </c>
      <c r="B11" s="23" t="s">
        <v>73</v>
      </c>
      <c r="C11" s="116" t="s">
        <v>62</v>
      </c>
      <c r="D11" s="117"/>
      <c r="E11" s="117"/>
      <c r="F11" s="117"/>
      <c r="G11" s="117"/>
      <c r="H11" s="117"/>
      <c r="I11" s="118"/>
      <c r="J11" s="27" t="s">
        <v>68</v>
      </c>
      <c r="K11" s="28" t="s">
        <v>21</v>
      </c>
      <c r="L11" s="29" t="s">
        <v>70</v>
      </c>
      <c r="M11" s="20"/>
    </row>
    <row r="12" spans="1:16" x14ac:dyDescent="0.2">
      <c r="A12" s="24" t="s">
        <v>60</v>
      </c>
      <c r="B12" s="24"/>
      <c r="C12" s="119" t="s">
        <v>63</v>
      </c>
      <c r="D12" s="111"/>
      <c r="E12" s="111"/>
      <c r="F12" s="111"/>
      <c r="G12" s="111"/>
      <c r="H12" s="111"/>
      <c r="I12" s="111"/>
      <c r="J12" s="31">
        <f>'Stavební rozpočet'!I12</f>
        <v>0</v>
      </c>
      <c r="K12" s="31">
        <f>'Stavební rozpočet'!J12</f>
        <v>0</v>
      </c>
      <c r="L12" s="31">
        <f>'Stavební rozpočet'!K12</f>
        <v>0</v>
      </c>
      <c r="M12" s="30" t="s">
        <v>71</v>
      </c>
      <c r="N12" s="30">
        <f t="shared" ref="N12:N23" si="0">IF(M12="F",0,L12)</f>
        <v>0</v>
      </c>
      <c r="O12" s="17" t="s">
        <v>60</v>
      </c>
      <c r="P12" s="30">
        <f t="shared" ref="P12:P23" si="1">IF(M12="T",0,L12)</f>
        <v>0</v>
      </c>
    </row>
    <row r="13" spans="1:16" x14ac:dyDescent="0.2">
      <c r="A13" s="17" t="s">
        <v>60</v>
      </c>
      <c r="B13" s="17" t="s">
        <v>74</v>
      </c>
      <c r="C13" s="81" t="s">
        <v>79</v>
      </c>
      <c r="D13" s="71"/>
      <c r="E13" s="71"/>
      <c r="F13" s="71"/>
      <c r="G13" s="71"/>
      <c r="H13" s="71"/>
      <c r="I13" s="71"/>
      <c r="J13" s="30">
        <f>SUMIF('Stavební rozpočet'!AZ13:AZ237,"01_6_",'Stavební rozpočet'!AW13:AW237)</f>
        <v>0</v>
      </c>
      <c r="K13" s="30">
        <f>SUMIF('Stavební rozpočet'!AZ13:AZ237,"01_6_",'Stavební rozpočet'!AX13:AX237)</f>
        <v>0</v>
      </c>
      <c r="L13" s="30">
        <f>SUMIF('Stavební rozpočet'!AZ13:AZ237,"01_6_",'Stavební rozpočet'!AV13:AV237)</f>
        <v>0</v>
      </c>
      <c r="M13" s="30" t="s">
        <v>84</v>
      </c>
      <c r="N13" s="30">
        <f t="shared" si="0"/>
        <v>0</v>
      </c>
      <c r="O13" s="17" t="s">
        <v>60</v>
      </c>
      <c r="P13" s="30">
        <f t="shared" si="1"/>
        <v>0</v>
      </c>
    </row>
    <row r="14" spans="1:16" x14ac:dyDescent="0.2">
      <c r="A14" s="17" t="s">
        <v>60</v>
      </c>
      <c r="B14" s="17" t="s">
        <v>75</v>
      </c>
      <c r="C14" s="81" t="s">
        <v>80</v>
      </c>
      <c r="D14" s="71"/>
      <c r="E14" s="71"/>
      <c r="F14" s="71"/>
      <c r="G14" s="71"/>
      <c r="H14" s="71"/>
      <c r="I14" s="71"/>
      <c r="J14" s="30">
        <f>SUMIF('Stavební rozpočet'!AZ13:AZ237,"01_72_",'Stavební rozpočet'!AW13:AW237)</f>
        <v>0</v>
      </c>
      <c r="K14" s="30">
        <f>SUMIF('Stavební rozpočet'!AZ13:AZ237,"01_72_",'Stavební rozpočet'!AX13:AX237)</f>
        <v>0</v>
      </c>
      <c r="L14" s="30">
        <f>SUMIF('Stavební rozpočet'!AZ13:AZ237,"01_72_",'Stavební rozpočet'!AV13:AV237)</f>
        <v>0</v>
      </c>
      <c r="M14" s="30" t="s">
        <v>84</v>
      </c>
      <c r="N14" s="30">
        <f t="shared" si="0"/>
        <v>0</v>
      </c>
      <c r="O14" s="17" t="s">
        <v>60</v>
      </c>
      <c r="P14" s="30">
        <f t="shared" si="1"/>
        <v>0</v>
      </c>
    </row>
    <row r="15" spans="1:16" x14ac:dyDescent="0.2">
      <c r="A15" s="17" t="s">
        <v>60</v>
      </c>
      <c r="B15" s="17" t="s">
        <v>76</v>
      </c>
      <c r="C15" s="81" t="s">
        <v>81</v>
      </c>
      <c r="D15" s="71"/>
      <c r="E15" s="71"/>
      <c r="F15" s="71"/>
      <c r="G15" s="71"/>
      <c r="H15" s="71"/>
      <c r="I15" s="71"/>
      <c r="J15" s="30">
        <f>SUMIF('Stavební rozpočet'!AZ13:AZ237,"01_8_",'Stavební rozpočet'!AW13:AW237)</f>
        <v>0</v>
      </c>
      <c r="K15" s="30">
        <f>SUMIF('Stavební rozpočet'!AZ13:AZ237,"01_8_",'Stavební rozpočet'!AX13:AX237)</f>
        <v>0</v>
      </c>
      <c r="L15" s="30">
        <f>SUMIF('Stavební rozpočet'!AZ13:AZ237,"01_8_",'Stavební rozpočet'!AV13:AV237)</f>
        <v>0</v>
      </c>
      <c r="M15" s="30" t="s">
        <v>84</v>
      </c>
      <c r="N15" s="30">
        <f t="shared" si="0"/>
        <v>0</v>
      </c>
      <c r="O15" s="17" t="s">
        <v>60</v>
      </c>
      <c r="P15" s="30">
        <f t="shared" si="1"/>
        <v>0</v>
      </c>
    </row>
    <row r="16" spans="1:16" x14ac:dyDescent="0.2">
      <c r="A16" s="17" t="s">
        <v>60</v>
      </c>
      <c r="B16" s="17" t="s">
        <v>77</v>
      </c>
      <c r="C16" s="81" t="s">
        <v>82</v>
      </c>
      <c r="D16" s="71"/>
      <c r="E16" s="71"/>
      <c r="F16" s="71"/>
      <c r="G16" s="71"/>
      <c r="H16" s="71"/>
      <c r="I16" s="71"/>
      <c r="J16" s="30">
        <f>SUMIF('Stavební rozpočet'!AZ13:AZ237,"01_9_",'Stavební rozpočet'!AW13:AW237)</f>
        <v>0</v>
      </c>
      <c r="K16" s="30">
        <f>SUMIF('Stavební rozpočet'!AZ13:AZ237,"01_9_",'Stavební rozpočet'!AX13:AX237)</f>
        <v>0</v>
      </c>
      <c r="L16" s="30">
        <f>SUMIF('Stavební rozpočet'!AZ13:AZ237,"01_9_",'Stavební rozpočet'!AV13:AV237)</f>
        <v>0</v>
      </c>
      <c r="M16" s="30" t="s">
        <v>84</v>
      </c>
      <c r="N16" s="30">
        <f t="shared" si="0"/>
        <v>0</v>
      </c>
      <c r="O16" s="17" t="s">
        <v>60</v>
      </c>
      <c r="P16" s="30">
        <f t="shared" si="1"/>
        <v>0</v>
      </c>
    </row>
    <row r="17" spans="1:16" x14ac:dyDescent="0.2">
      <c r="A17" s="17" t="s">
        <v>60</v>
      </c>
      <c r="B17" s="17"/>
      <c r="C17" s="81" t="s">
        <v>10</v>
      </c>
      <c r="D17" s="71"/>
      <c r="E17" s="71"/>
      <c r="F17" s="71"/>
      <c r="G17" s="71"/>
      <c r="H17" s="71"/>
      <c r="I17" s="71"/>
      <c r="J17" s="30">
        <f>SUMIF('Stavební rozpočet'!AZ13:AZ237,"01_Z_",'Stavební rozpočet'!AW13:AW237)</f>
        <v>0</v>
      </c>
      <c r="K17" s="30">
        <f>SUMIF('Stavební rozpočet'!AZ13:AZ237,"01_Z_",'Stavební rozpočet'!AX13:AX237)</f>
        <v>0</v>
      </c>
      <c r="L17" s="30">
        <f>SUMIF('Stavební rozpočet'!AZ13:AZ237,"01_Z_",'Stavební rozpočet'!AV13:AV237)</f>
        <v>0</v>
      </c>
      <c r="M17" s="30" t="s">
        <v>84</v>
      </c>
      <c r="N17" s="30">
        <f t="shared" si="0"/>
        <v>0</v>
      </c>
      <c r="O17" s="17" t="s">
        <v>60</v>
      </c>
      <c r="P17" s="30">
        <f t="shared" si="1"/>
        <v>0</v>
      </c>
    </row>
    <row r="18" spans="1:16" x14ac:dyDescent="0.2">
      <c r="A18" s="17" t="s">
        <v>61</v>
      </c>
      <c r="B18" s="17"/>
      <c r="C18" s="81" t="s">
        <v>64</v>
      </c>
      <c r="D18" s="71"/>
      <c r="E18" s="71"/>
      <c r="F18" s="71"/>
      <c r="G18" s="71"/>
      <c r="H18" s="71"/>
      <c r="I18" s="71"/>
      <c r="J18" s="30">
        <f>'Stavební rozpočet'!I167</f>
        <v>0</v>
      </c>
      <c r="K18" s="30">
        <f>'Stavební rozpočet'!J167</f>
        <v>0</v>
      </c>
      <c r="L18" s="30">
        <f>'Stavební rozpočet'!K167</f>
        <v>0</v>
      </c>
      <c r="M18" s="30" t="s">
        <v>71</v>
      </c>
      <c r="N18" s="30">
        <f t="shared" si="0"/>
        <v>0</v>
      </c>
      <c r="O18" s="17" t="s">
        <v>61</v>
      </c>
      <c r="P18" s="30">
        <f t="shared" si="1"/>
        <v>0</v>
      </c>
    </row>
    <row r="19" spans="1:16" x14ac:dyDescent="0.2">
      <c r="A19" s="17" t="s">
        <v>61</v>
      </c>
      <c r="B19" s="17" t="s">
        <v>74</v>
      </c>
      <c r="C19" s="81" t="s">
        <v>79</v>
      </c>
      <c r="D19" s="71"/>
      <c r="E19" s="71"/>
      <c r="F19" s="71"/>
      <c r="G19" s="71"/>
      <c r="H19" s="71"/>
      <c r="I19" s="71"/>
      <c r="J19" s="30">
        <f>SUMIF('Stavební rozpočet'!AZ13:AZ237,"02_6_",'Stavební rozpočet'!AW13:AW237)</f>
        <v>0</v>
      </c>
      <c r="K19" s="30">
        <f>SUMIF('Stavební rozpočet'!AZ13:AZ237,"02_6_",'Stavební rozpočet'!AX13:AX237)</f>
        <v>0</v>
      </c>
      <c r="L19" s="30">
        <f>SUMIF('Stavební rozpočet'!AZ13:AZ237,"02_6_",'Stavební rozpočet'!AV13:AV237)</f>
        <v>0</v>
      </c>
      <c r="M19" s="30" t="s">
        <v>84</v>
      </c>
      <c r="N19" s="30">
        <f t="shared" si="0"/>
        <v>0</v>
      </c>
      <c r="O19" s="17" t="s">
        <v>61</v>
      </c>
      <c r="P19" s="30">
        <f t="shared" si="1"/>
        <v>0</v>
      </c>
    </row>
    <row r="20" spans="1:16" x14ac:dyDescent="0.2">
      <c r="A20" s="17" t="s">
        <v>61</v>
      </c>
      <c r="B20" s="17" t="s">
        <v>75</v>
      </c>
      <c r="C20" s="81" t="s">
        <v>80</v>
      </c>
      <c r="D20" s="71"/>
      <c r="E20" s="71"/>
      <c r="F20" s="71"/>
      <c r="G20" s="71"/>
      <c r="H20" s="71"/>
      <c r="I20" s="71"/>
      <c r="J20" s="30">
        <f>SUMIF('Stavební rozpočet'!AZ13:AZ237,"02_72_",'Stavební rozpočet'!AW13:AW237)</f>
        <v>0</v>
      </c>
      <c r="K20" s="30">
        <f>SUMIF('Stavební rozpočet'!AZ13:AZ237,"02_72_",'Stavební rozpočet'!AX13:AX237)</f>
        <v>0</v>
      </c>
      <c r="L20" s="30">
        <f>SUMIF('Stavební rozpočet'!AZ13:AZ237,"02_72_",'Stavební rozpočet'!AV13:AV237)</f>
        <v>0</v>
      </c>
      <c r="M20" s="30" t="s">
        <v>84</v>
      </c>
      <c r="N20" s="30">
        <f t="shared" si="0"/>
        <v>0</v>
      </c>
      <c r="O20" s="17" t="s">
        <v>61</v>
      </c>
      <c r="P20" s="30">
        <f t="shared" si="1"/>
        <v>0</v>
      </c>
    </row>
    <row r="21" spans="1:16" x14ac:dyDescent="0.2">
      <c r="A21" s="17" t="s">
        <v>61</v>
      </c>
      <c r="B21" s="17" t="s">
        <v>78</v>
      </c>
      <c r="C21" s="81" t="s">
        <v>83</v>
      </c>
      <c r="D21" s="71"/>
      <c r="E21" s="71"/>
      <c r="F21" s="71"/>
      <c r="G21" s="71"/>
      <c r="H21" s="71"/>
      <c r="I21" s="71"/>
      <c r="J21" s="30">
        <f>SUMIF('Stavební rozpočet'!AZ13:AZ237,"02_73_",'Stavební rozpočet'!AW13:AW237)</f>
        <v>0</v>
      </c>
      <c r="K21" s="30">
        <f>SUMIF('Stavební rozpočet'!AZ13:AZ237,"02_73_",'Stavební rozpočet'!AX13:AX237)</f>
        <v>0</v>
      </c>
      <c r="L21" s="30">
        <f>SUMIF('Stavební rozpočet'!AZ13:AZ237,"02_73_",'Stavební rozpočet'!AV13:AV237)</f>
        <v>0</v>
      </c>
      <c r="M21" s="30" t="s">
        <v>84</v>
      </c>
      <c r="N21" s="30">
        <f t="shared" si="0"/>
        <v>0</v>
      </c>
      <c r="O21" s="17" t="s">
        <v>61</v>
      </c>
      <c r="P21" s="30">
        <f t="shared" si="1"/>
        <v>0</v>
      </c>
    </row>
    <row r="22" spans="1:16" x14ac:dyDescent="0.2">
      <c r="A22" s="17" t="s">
        <v>61</v>
      </c>
      <c r="B22" s="17" t="s">
        <v>77</v>
      </c>
      <c r="C22" s="81" t="s">
        <v>82</v>
      </c>
      <c r="D22" s="71"/>
      <c r="E22" s="71"/>
      <c r="F22" s="71"/>
      <c r="G22" s="71"/>
      <c r="H22" s="71"/>
      <c r="I22" s="71"/>
      <c r="J22" s="30">
        <f>SUMIF('Stavební rozpočet'!AZ13:AZ237,"02_9_",'Stavební rozpočet'!AW13:AW237)</f>
        <v>0</v>
      </c>
      <c r="K22" s="30">
        <f>SUMIF('Stavební rozpočet'!AZ13:AZ237,"02_9_",'Stavební rozpočet'!AX13:AX237)</f>
        <v>0</v>
      </c>
      <c r="L22" s="30">
        <f>SUMIF('Stavební rozpočet'!AZ13:AZ237,"02_9_",'Stavební rozpočet'!AV13:AV237)</f>
        <v>0</v>
      </c>
      <c r="M22" s="30" t="s">
        <v>84</v>
      </c>
      <c r="N22" s="30">
        <f t="shared" si="0"/>
        <v>0</v>
      </c>
      <c r="O22" s="17" t="s">
        <v>61</v>
      </c>
      <c r="P22" s="30">
        <f t="shared" si="1"/>
        <v>0</v>
      </c>
    </row>
    <row r="23" spans="1:16" x14ac:dyDescent="0.2">
      <c r="A23" s="25" t="s">
        <v>61</v>
      </c>
      <c r="B23" s="25"/>
      <c r="C23" s="120" t="s">
        <v>10</v>
      </c>
      <c r="D23" s="83"/>
      <c r="E23" s="83"/>
      <c r="F23" s="83"/>
      <c r="G23" s="83"/>
      <c r="H23" s="83"/>
      <c r="I23" s="83"/>
      <c r="J23" s="32">
        <f>SUMIF('Stavební rozpočet'!AZ13:AZ237,"02_Z_",'Stavební rozpočet'!AW13:AW237)</f>
        <v>0</v>
      </c>
      <c r="K23" s="32">
        <f>SUMIF('Stavební rozpočet'!AZ13:AZ237,"02_Z_",'Stavební rozpočet'!AX13:AX237)</f>
        <v>0</v>
      </c>
      <c r="L23" s="32">
        <f>SUMIF('Stavební rozpočet'!AZ13:AZ237,"02_Z_",'Stavební rozpočet'!AV13:AV237)</f>
        <v>0</v>
      </c>
      <c r="M23" s="30" t="s">
        <v>84</v>
      </c>
      <c r="N23" s="30">
        <f t="shared" si="0"/>
        <v>0</v>
      </c>
      <c r="O23" s="17" t="s">
        <v>61</v>
      </c>
      <c r="P23" s="30">
        <f t="shared" si="1"/>
        <v>0</v>
      </c>
    </row>
    <row r="24" spans="1:16" x14ac:dyDescent="0.2">
      <c r="A24" s="5"/>
      <c r="B24" s="5"/>
      <c r="C24" s="5"/>
      <c r="D24" s="5"/>
      <c r="E24" s="5"/>
      <c r="F24" s="5"/>
      <c r="G24" s="5"/>
      <c r="H24" s="5"/>
      <c r="I24" s="5"/>
      <c r="J24" s="121" t="s">
        <v>69</v>
      </c>
      <c r="K24" s="73"/>
      <c r="L24" s="33">
        <f>ROUND(SUM(N12:N23),1)</f>
        <v>0</v>
      </c>
    </row>
    <row r="25" spans="1:16" ht="11.25" customHeight="1" x14ac:dyDescent="0.2">
      <c r="A25" s="26" t="s">
        <v>18</v>
      </c>
    </row>
    <row r="26" spans="1:16" x14ac:dyDescent="0.2">
      <c r="A26" s="79"/>
      <c r="B26" s="71"/>
      <c r="C26" s="71"/>
      <c r="D26" s="71"/>
      <c r="E26" s="71"/>
      <c r="F26" s="71"/>
      <c r="G26" s="71"/>
      <c r="H26" s="71"/>
      <c r="I26" s="71"/>
      <c r="J26" s="71"/>
      <c r="K26" s="71"/>
    </row>
  </sheetData>
  <sheetProtection algorithmName="SHA-512" hashValue="BE+1Ng8X6pxFwTPbhFu6NWlfMhWEBk0R9S4QlNd3KOE8e4l0KXXoI/D7Jw5D5yC+TPTEzltD3KHqueCtvgKakA==" saltValue="XJWr5VMp22G0dXzYTkuohA==" spinCount="100000" sheet="1" objects="1" scenarios="1"/>
  <mergeCells count="42">
    <mergeCell ref="C21:I21"/>
    <mergeCell ref="C22:I22"/>
    <mergeCell ref="C23:I23"/>
    <mergeCell ref="J24:K24"/>
    <mergeCell ref="A26:K26"/>
    <mergeCell ref="C15:I15"/>
    <mergeCell ref="C16:I16"/>
    <mergeCell ref="C17:I17"/>
    <mergeCell ref="C18:I18"/>
    <mergeCell ref="C19:I19"/>
    <mergeCell ref="C20:I20"/>
    <mergeCell ref="C10:I10"/>
    <mergeCell ref="J10:L10"/>
    <mergeCell ref="C11:I11"/>
    <mergeCell ref="C12:I12"/>
    <mergeCell ref="C13:I13"/>
    <mergeCell ref="C14:I14"/>
    <mergeCell ref="A8:C9"/>
    <mergeCell ref="D8:D9"/>
    <mergeCell ref="E8:F9"/>
    <mergeCell ref="G8:H9"/>
    <mergeCell ref="I8:I9"/>
    <mergeCell ref="J8:L9"/>
    <mergeCell ref="A6:C7"/>
    <mergeCell ref="D6:D7"/>
    <mergeCell ref="E6:F7"/>
    <mergeCell ref="G6:H7"/>
    <mergeCell ref="I6:I7"/>
    <mergeCell ref="J6:L7"/>
    <mergeCell ref="A4:C5"/>
    <mergeCell ref="D4:D5"/>
    <mergeCell ref="E4:F5"/>
    <mergeCell ref="G4:H5"/>
    <mergeCell ref="I4:I5"/>
    <mergeCell ref="J4:L5"/>
    <mergeCell ref="A1:L1"/>
    <mergeCell ref="A2:C3"/>
    <mergeCell ref="D2:D3"/>
    <mergeCell ref="E2:F3"/>
    <mergeCell ref="G2:H3"/>
    <mergeCell ref="I2:I3"/>
    <mergeCell ref="J2:L3"/>
  </mergeCells>
  <pageMargins left="0.39400000000000002" right="0.39400000000000002" top="0.59099999999999997" bottom="0.59099999999999997" header="0.5" footer="0.5"/>
  <pageSetup paperSize="0" fitToHeight="0" orientation="landscape"/>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40"/>
  <sheetViews>
    <sheetView tabSelected="1" workbookViewId="0">
      <pane ySplit="11" topLeftCell="A12" activePane="bottomLeft" state="frozenSplit"/>
      <selection pane="bottomLeft" activeCell="H243" sqref="H243"/>
    </sheetView>
  </sheetViews>
  <sheetFormatPr defaultColWidth="11.5703125" defaultRowHeight="12.75" x14ac:dyDescent="0.2"/>
  <cols>
    <col min="1" max="1" width="3.7109375" customWidth="1"/>
    <col min="2" max="2" width="14.28515625" customWidth="1"/>
    <col min="3" max="3" width="55.28515625" customWidth="1"/>
    <col min="6" max="6" width="6.42578125" customWidth="1"/>
    <col min="7" max="7" width="12.85546875" customWidth="1"/>
    <col min="8" max="8" width="12" customWidth="1"/>
    <col min="9" max="11" width="14.28515625" customWidth="1"/>
    <col min="12" max="12" width="11.7109375" customWidth="1"/>
    <col min="25" max="62" width="12.140625" hidden="1" customWidth="1"/>
  </cols>
  <sheetData>
    <row r="1" spans="1:62" ht="72.95" customHeight="1" x14ac:dyDescent="0.35">
      <c r="A1" s="105" t="s">
        <v>85</v>
      </c>
      <c r="B1" s="67"/>
      <c r="C1" s="67"/>
      <c r="D1" s="67"/>
      <c r="E1" s="67"/>
      <c r="F1" s="67"/>
      <c r="G1" s="67"/>
      <c r="H1" s="67"/>
      <c r="I1" s="67"/>
      <c r="J1" s="67"/>
      <c r="K1" s="67"/>
      <c r="L1" s="67"/>
    </row>
    <row r="2" spans="1:62" x14ac:dyDescent="0.2">
      <c r="A2" s="68" t="s">
        <v>0</v>
      </c>
      <c r="B2" s="69"/>
      <c r="C2" s="72" t="s">
        <v>262</v>
      </c>
      <c r="D2" s="122" t="s">
        <v>65</v>
      </c>
      <c r="E2" s="69"/>
      <c r="F2" s="122" t="s">
        <v>58</v>
      </c>
      <c r="G2" s="69"/>
      <c r="H2" s="75" t="s">
        <v>32</v>
      </c>
      <c r="I2" s="75" t="s">
        <v>430</v>
      </c>
      <c r="J2" s="69"/>
      <c r="K2" s="69"/>
      <c r="L2" s="106"/>
      <c r="M2" s="19"/>
    </row>
    <row r="3" spans="1:62" x14ac:dyDescent="0.2">
      <c r="A3" s="70"/>
      <c r="B3" s="71"/>
      <c r="C3" s="74"/>
      <c r="D3" s="71"/>
      <c r="E3" s="71"/>
      <c r="F3" s="71"/>
      <c r="G3" s="71"/>
      <c r="H3" s="71"/>
      <c r="I3" s="71"/>
      <c r="J3" s="71"/>
      <c r="K3" s="71"/>
      <c r="L3" s="77"/>
      <c r="M3" s="19"/>
    </row>
    <row r="4" spans="1:62" x14ac:dyDescent="0.2">
      <c r="A4" s="78" t="s">
        <v>1</v>
      </c>
      <c r="B4" s="71"/>
      <c r="C4" s="79" t="s">
        <v>263</v>
      </c>
      <c r="D4" s="81" t="s">
        <v>3</v>
      </c>
      <c r="E4" s="71"/>
      <c r="F4" s="81" t="s">
        <v>58</v>
      </c>
      <c r="G4" s="71"/>
      <c r="H4" s="79" t="s">
        <v>33</v>
      </c>
      <c r="I4" s="79" t="s">
        <v>431</v>
      </c>
      <c r="J4" s="71"/>
      <c r="K4" s="71"/>
      <c r="L4" s="77"/>
      <c r="M4" s="19"/>
    </row>
    <row r="5" spans="1:62" x14ac:dyDescent="0.2">
      <c r="A5" s="70"/>
      <c r="B5" s="71"/>
      <c r="C5" s="71"/>
      <c r="D5" s="71"/>
      <c r="E5" s="71"/>
      <c r="F5" s="71"/>
      <c r="G5" s="71"/>
      <c r="H5" s="71"/>
      <c r="I5" s="71"/>
      <c r="J5" s="71"/>
      <c r="K5" s="71"/>
      <c r="L5" s="77"/>
      <c r="M5" s="19"/>
    </row>
    <row r="6" spans="1:62" x14ac:dyDescent="0.2">
      <c r="A6" s="78" t="s">
        <v>2</v>
      </c>
      <c r="B6" s="71"/>
      <c r="C6" s="79" t="s">
        <v>264</v>
      </c>
      <c r="D6" s="81" t="s">
        <v>35</v>
      </c>
      <c r="E6" s="71"/>
      <c r="F6" s="81" t="s">
        <v>58</v>
      </c>
      <c r="G6" s="71"/>
      <c r="H6" s="79" t="s">
        <v>34</v>
      </c>
      <c r="I6" s="147"/>
      <c r="J6" s="145"/>
      <c r="K6" s="145"/>
      <c r="L6" s="146"/>
      <c r="M6" s="19"/>
    </row>
    <row r="7" spans="1:62" x14ac:dyDescent="0.2">
      <c r="A7" s="70"/>
      <c r="B7" s="71"/>
      <c r="C7" s="71"/>
      <c r="D7" s="71"/>
      <c r="E7" s="71"/>
      <c r="F7" s="71"/>
      <c r="G7" s="71"/>
      <c r="H7" s="71"/>
      <c r="I7" s="145"/>
      <c r="J7" s="145"/>
      <c r="K7" s="145"/>
      <c r="L7" s="146"/>
      <c r="M7" s="19"/>
    </row>
    <row r="8" spans="1:62" x14ac:dyDescent="0.2">
      <c r="A8" s="78" t="s">
        <v>4</v>
      </c>
      <c r="B8" s="71"/>
      <c r="C8" s="79" t="s">
        <v>58</v>
      </c>
      <c r="D8" s="81" t="s">
        <v>66</v>
      </c>
      <c r="E8" s="71"/>
      <c r="F8" s="81" t="s">
        <v>417</v>
      </c>
      <c r="G8" s="71"/>
      <c r="H8" s="79" t="s">
        <v>36</v>
      </c>
      <c r="I8" s="79" t="s">
        <v>431</v>
      </c>
      <c r="J8" s="71"/>
      <c r="K8" s="71"/>
      <c r="L8" s="77"/>
      <c r="M8" s="19"/>
    </row>
    <row r="9" spans="1:62" x14ac:dyDescent="0.2">
      <c r="A9" s="107"/>
      <c r="B9" s="108"/>
      <c r="C9" s="108"/>
      <c r="D9" s="108"/>
      <c r="E9" s="108"/>
      <c r="F9" s="108"/>
      <c r="G9" s="108"/>
      <c r="H9" s="108"/>
      <c r="I9" s="108"/>
      <c r="J9" s="108"/>
      <c r="K9" s="108"/>
      <c r="L9" s="109"/>
      <c r="M9" s="19"/>
    </row>
    <row r="10" spans="1:62" x14ac:dyDescent="0.2">
      <c r="A10" s="34" t="s">
        <v>86</v>
      </c>
      <c r="B10" s="41" t="s">
        <v>73</v>
      </c>
      <c r="C10" s="123" t="s">
        <v>265</v>
      </c>
      <c r="D10" s="124"/>
      <c r="E10" s="125"/>
      <c r="F10" s="41" t="s">
        <v>418</v>
      </c>
      <c r="G10" s="47" t="s">
        <v>427</v>
      </c>
      <c r="H10" s="52" t="s">
        <v>428</v>
      </c>
      <c r="I10" s="113" t="s">
        <v>67</v>
      </c>
      <c r="J10" s="114"/>
      <c r="K10" s="115"/>
      <c r="L10" s="54" t="s">
        <v>432</v>
      </c>
      <c r="M10" s="20"/>
    </row>
    <row r="11" spans="1:62" x14ac:dyDescent="0.2">
      <c r="A11" s="35" t="s">
        <v>58</v>
      </c>
      <c r="B11" s="42" t="s">
        <v>58</v>
      </c>
      <c r="C11" s="116" t="s">
        <v>266</v>
      </c>
      <c r="D11" s="117"/>
      <c r="E11" s="126"/>
      <c r="F11" s="42" t="s">
        <v>58</v>
      </c>
      <c r="G11" s="42" t="s">
        <v>58</v>
      </c>
      <c r="H11" s="53" t="s">
        <v>429</v>
      </c>
      <c r="I11" s="27" t="s">
        <v>68</v>
      </c>
      <c r="J11" s="28" t="s">
        <v>21</v>
      </c>
      <c r="K11" s="29" t="s">
        <v>70</v>
      </c>
      <c r="L11" s="55" t="s">
        <v>433</v>
      </c>
      <c r="M11" s="20"/>
      <c r="Z11" s="57" t="s">
        <v>436</v>
      </c>
      <c r="AA11" s="57" t="s">
        <v>437</v>
      </c>
      <c r="AB11" s="57" t="s">
        <v>438</v>
      </c>
      <c r="AC11" s="57" t="s">
        <v>439</v>
      </c>
      <c r="AD11" s="57" t="s">
        <v>440</v>
      </c>
      <c r="AE11" s="57" t="s">
        <v>441</v>
      </c>
      <c r="AF11" s="57" t="s">
        <v>442</v>
      </c>
      <c r="AG11" s="57" t="s">
        <v>443</v>
      </c>
      <c r="AH11" s="57" t="s">
        <v>444</v>
      </c>
      <c r="BH11" s="57" t="s">
        <v>477</v>
      </c>
      <c r="BI11" s="57" t="s">
        <v>478</v>
      </c>
      <c r="BJ11" s="57" t="s">
        <v>479</v>
      </c>
    </row>
    <row r="12" spans="1:62" x14ac:dyDescent="0.2">
      <c r="A12" s="36"/>
      <c r="B12" s="43"/>
      <c r="C12" s="127" t="s">
        <v>63</v>
      </c>
      <c r="D12" s="128"/>
      <c r="E12" s="128"/>
      <c r="F12" s="36" t="s">
        <v>58</v>
      </c>
      <c r="G12" s="36" t="s">
        <v>58</v>
      </c>
      <c r="H12" s="36" t="s">
        <v>58</v>
      </c>
      <c r="I12" s="62">
        <f>I13+I17+I24+I60+I111+I130+I133+I138+I144+I147+I150+I153+I159</f>
        <v>0</v>
      </c>
      <c r="J12" s="62">
        <f>J13+J17+J24+J60+J111+J130+J133+J138+J144+J147+J150+J153+J159</f>
        <v>0</v>
      </c>
      <c r="K12" s="62">
        <f>K13+K17+K24+K60+K111+K130+K133+K138+K144+K147+K150+K153+K159</f>
        <v>0</v>
      </c>
      <c r="L12" s="56"/>
    </row>
    <row r="13" spans="1:62" x14ac:dyDescent="0.2">
      <c r="A13" s="37"/>
      <c r="B13" s="44" t="s">
        <v>144</v>
      </c>
      <c r="C13" s="129" t="s">
        <v>267</v>
      </c>
      <c r="D13" s="130"/>
      <c r="E13" s="130"/>
      <c r="F13" s="37" t="s">
        <v>58</v>
      </c>
      <c r="G13" s="37" t="s">
        <v>58</v>
      </c>
      <c r="H13" s="37" t="s">
        <v>58</v>
      </c>
      <c r="I13" s="63">
        <f>SUM(I14:I14)</f>
        <v>0</v>
      </c>
      <c r="J13" s="63">
        <f>SUM(J14:J14)</f>
        <v>0</v>
      </c>
      <c r="K13" s="63">
        <f>SUM(K14:K14)</f>
        <v>0</v>
      </c>
      <c r="L13" s="57"/>
      <c r="AI13" s="57" t="s">
        <v>60</v>
      </c>
      <c r="AS13" s="63">
        <f>SUM(AJ14:AJ14)</f>
        <v>0</v>
      </c>
      <c r="AT13" s="63">
        <f>SUM(AK14:AK14)</f>
        <v>0</v>
      </c>
      <c r="AU13" s="63">
        <f>SUM(AL14:AL14)</f>
        <v>0</v>
      </c>
    </row>
    <row r="14" spans="1:62" x14ac:dyDescent="0.2">
      <c r="A14" s="38" t="s">
        <v>87</v>
      </c>
      <c r="B14" s="38" t="s">
        <v>165</v>
      </c>
      <c r="C14" s="131" t="s">
        <v>268</v>
      </c>
      <c r="D14" s="132"/>
      <c r="E14" s="132"/>
      <c r="F14" s="38" t="s">
        <v>419</v>
      </c>
      <c r="G14" s="48">
        <v>1.65</v>
      </c>
      <c r="H14" s="148">
        <v>0</v>
      </c>
      <c r="I14" s="148">
        <f>G14*AO14</f>
        <v>0</v>
      </c>
      <c r="J14" s="148">
        <f>G14*AP14</f>
        <v>0</v>
      </c>
      <c r="K14" s="48">
        <f>G14*H14</f>
        <v>0</v>
      </c>
      <c r="L14" s="58" t="s">
        <v>434</v>
      </c>
      <c r="Z14" s="30">
        <f>IF(AQ14="5",BJ14,0)</f>
        <v>0</v>
      </c>
      <c r="AB14" s="30">
        <f>IF(AQ14="1",BH14,0)</f>
        <v>0</v>
      </c>
      <c r="AC14" s="30">
        <f>IF(AQ14="1",BI14,0)</f>
        <v>0</v>
      </c>
      <c r="AD14" s="30">
        <f>IF(AQ14="7",BH14,0)</f>
        <v>0</v>
      </c>
      <c r="AE14" s="30">
        <f>IF(AQ14="7",BI14,0)</f>
        <v>0</v>
      </c>
      <c r="AF14" s="30">
        <f>IF(AQ14="2",BH14,0)</f>
        <v>0</v>
      </c>
      <c r="AG14" s="30">
        <f>IF(AQ14="2",BI14,0)</f>
        <v>0</v>
      </c>
      <c r="AH14" s="30">
        <f>IF(AQ14="0",BJ14,0)</f>
        <v>0</v>
      </c>
      <c r="AI14" s="57" t="s">
        <v>60</v>
      </c>
      <c r="AJ14" s="48">
        <f>IF(AN14=0,K14,0)</f>
        <v>0</v>
      </c>
      <c r="AK14" s="48">
        <f>IF(AN14=15,K14,0)</f>
        <v>0</v>
      </c>
      <c r="AL14" s="48">
        <f>IF(AN14=21,K14,0)</f>
        <v>0</v>
      </c>
      <c r="AN14" s="30">
        <v>21</v>
      </c>
      <c r="AO14" s="30">
        <f>H14*0.428884758364312</f>
        <v>0</v>
      </c>
      <c r="AP14" s="30">
        <f>H14*(1-0.428884758364312)</f>
        <v>0</v>
      </c>
      <c r="AQ14" s="58" t="s">
        <v>87</v>
      </c>
      <c r="AV14" s="30">
        <f>AW14+AX14</f>
        <v>0</v>
      </c>
      <c r="AW14" s="30">
        <f>G14*AO14</f>
        <v>0</v>
      </c>
      <c r="AX14" s="30">
        <f>G14*AP14</f>
        <v>0</v>
      </c>
      <c r="AY14" s="61" t="s">
        <v>446</v>
      </c>
      <c r="AZ14" s="61" t="s">
        <v>465</v>
      </c>
      <c r="BA14" s="57" t="s">
        <v>475</v>
      </c>
      <c r="BC14" s="30">
        <f>AW14+AX14</f>
        <v>0</v>
      </c>
      <c r="BD14" s="30">
        <f>H14/(100-BE14)*100</f>
        <v>0</v>
      </c>
      <c r="BE14" s="30">
        <v>0</v>
      </c>
      <c r="BF14" s="30">
        <f>14</f>
        <v>14</v>
      </c>
      <c r="BH14" s="48">
        <f>G14*AO14</f>
        <v>0</v>
      </c>
      <c r="BI14" s="48">
        <f>G14*AP14</f>
        <v>0</v>
      </c>
      <c r="BJ14" s="48">
        <f>G14*H14</f>
        <v>0</v>
      </c>
    </row>
    <row r="15" spans="1:62" x14ac:dyDescent="0.2">
      <c r="B15" s="45" t="s">
        <v>166</v>
      </c>
      <c r="C15" s="133" t="s">
        <v>269</v>
      </c>
      <c r="D15" s="134"/>
      <c r="E15" s="134"/>
      <c r="F15" s="134"/>
      <c r="G15" s="134"/>
      <c r="H15" s="134"/>
      <c r="I15" s="134"/>
      <c r="J15" s="134"/>
      <c r="K15" s="134"/>
      <c r="L15" s="134"/>
    </row>
    <row r="16" spans="1:62" x14ac:dyDescent="0.2">
      <c r="C16" s="135" t="s">
        <v>270</v>
      </c>
      <c r="D16" s="136"/>
      <c r="E16" s="136"/>
      <c r="G16" s="49">
        <v>1.65</v>
      </c>
    </row>
    <row r="17" spans="1:62" x14ac:dyDescent="0.2">
      <c r="A17" s="37"/>
      <c r="B17" s="44" t="s">
        <v>146</v>
      </c>
      <c r="C17" s="129" t="s">
        <v>271</v>
      </c>
      <c r="D17" s="130"/>
      <c r="E17" s="130"/>
      <c r="F17" s="37" t="s">
        <v>58</v>
      </c>
      <c r="G17" s="37" t="s">
        <v>58</v>
      </c>
      <c r="H17" s="37" t="s">
        <v>58</v>
      </c>
      <c r="I17" s="63">
        <f>SUM(I18:I22)</f>
        <v>0</v>
      </c>
      <c r="J17" s="63">
        <f>SUM(J18:J22)</f>
        <v>0</v>
      </c>
      <c r="K17" s="63">
        <f>SUM(K18:K22)</f>
        <v>0</v>
      </c>
      <c r="L17" s="57"/>
      <c r="AI17" s="57" t="s">
        <v>60</v>
      </c>
      <c r="AS17" s="63">
        <f>SUM(AJ18:AJ22)</f>
        <v>0</v>
      </c>
      <c r="AT17" s="63">
        <f>SUM(AK18:AK22)</f>
        <v>0</v>
      </c>
      <c r="AU17" s="63">
        <f>SUM(AL18:AL22)</f>
        <v>0</v>
      </c>
    </row>
    <row r="18" spans="1:62" x14ac:dyDescent="0.2">
      <c r="A18" s="38" t="s">
        <v>88</v>
      </c>
      <c r="B18" s="38" t="s">
        <v>167</v>
      </c>
      <c r="C18" s="131" t="s">
        <v>272</v>
      </c>
      <c r="D18" s="132"/>
      <c r="E18" s="132"/>
      <c r="F18" s="38" t="s">
        <v>419</v>
      </c>
      <c r="G18" s="48">
        <v>0.75</v>
      </c>
      <c r="H18" s="148">
        <v>0</v>
      </c>
      <c r="I18" s="148">
        <f>G18*AO18</f>
        <v>0</v>
      </c>
      <c r="J18" s="148">
        <f>G18*AP18</f>
        <v>0</v>
      </c>
      <c r="K18" s="48">
        <f>G18*H18</f>
        <v>0</v>
      </c>
      <c r="L18" s="58" t="s">
        <v>434</v>
      </c>
      <c r="Z18" s="30">
        <f>IF(AQ18="5",BJ18,0)</f>
        <v>0</v>
      </c>
      <c r="AB18" s="30">
        <f>IF(AQ18="1",BH18,0)</f>
        <v>0</v>
      </c>
      <c r="AC18" s="30">
        <f>IF(AQ18="1",BI18,0)</f>
        <v>0</v>
      </c>
      <c r="AD18" s="30">
        <f>IF(AQ18="7",BH18,0)</f>
        <v>0</v>
      </c>
      <c r="AE18" s="30">
        <f>IF(AQ18="7",BI18,0)</f>
        <v>0</v>
      </c>
      <c r="AF18" s="30">
        <f>IF(AQ18="2",BH18,0)</f>
        <v>0</v>
      </c>
      <c r="AG18" s="30">
        <f>IF(AQ18="2",BI18,0)</f>
        <v>0</v>
      </c>
      <c r="AH18" s="30">
        <f>IF(AQ18="0",BJ18,0)</f>
        <v>0</v>
      </c>
      <c r="AI18" s="57" t="s">
        <v>60</v>
      </c>
      <c r="AJ18" s="48">
        <f>IF(AN18=0,K18,0)</f>
        <v>0</v>
      </c>
      <c r="AK18" s="48">
        <f>IF(AN18=15,K18,0)</f>
        <v>0</v>
      </c>
      <c r="AL18" s="48">
        <f>IF(AN18=21,K18,0)</f>
        <v>0</v>
      </c>
      <c r="AN18" s="30">
        <v>21</v>
      </c>
      <c r="AO18" s="30">
        <f>H18*0</f>
        <v>0</v>
      </c>
      <c r="AP18" s="30">
        <f>H18*(1-0)</f>
        <v>0</v>
      </c>
      <c r="AQ18" s="58" t="s">
        <v>87</v>
      </c>
      <c r="AV18" s="30">
        <f>AW18+AX18</f>
        <v>0</v>
      </c>
      <c r="AW18" s="30">
        <f>G18*AO18</f>
        <v>0</v>
      </c>
      <c r="AX18" s="30">
        <f>G18*AP18</f>
        <v>0</v>
      </c>
      <c r="AY18" s="61" t="s">
        <v>447</v>
      </c>
      <c r="AZ18" s="61" t="s">
        <v>465</v>
      </c>
      <c r="BA18" s="57" t="s">
        <v>475</v>
      </c>
      <c r="BC18" s="30">
        <f>AW18+AX18</f>
        <v>0</v>
      </c>
      <c r="BD18" s="30">
        <f>H18/(100-BE18)*100</f>
        <v>0</v>
      </c>
      <c r="BE18" s="30">
        <v>0</v>
      </c>
      <c r="BF18" s="30">
        <f>18</f>
        <v>18</v>
      </c>
      <c r="BH18" s="48">
        <f>G18*AO18</f>
        <v>0</v>
      </c>
      <c r="BI18" s="48">
        <f>G18*AP18</f>
        <v>0</v>
      </c>
      <c r="BJ18" s="48">
        <f>G18*H18</f>
        <v>0</v>
      </c>
    </row>
    <row r="19" spans="1:62" x14ac:dyDescent="0.2">
      <c r="B19" s="45" t="s">
        <v>166</v>
      </c>
      <c r="C19" s="133" t="s">
        <v>273</v>
      </c>
      <c r="D19" s="134"/>
      <c r="E19" s="134"/>
      <c r="F19" s="134"/>
      <c r="G19" s="134"/>
      <c r="H19" s="134"/>
      <c r="I19" s="134"/>
      <c r="J19" s="134"/>
      <c r="K19" s="134"/>
      <c r="L19" s="134"/>
    </row>
    <row r="20" spans="1:62" x14ac:dyDescent="0.2">
      <c r="C20" s="135" t="s">
        <v>274</v>
      </c>
      <c r="D20" s="136"/>
      <c r="E20" s="136"/>
      <c r="G20" s="49">
        <v>0.75</v>
      </c>
    </row>
    <row r="21" spans="1:62" ht="25.7" customHeight="1" x14ac:dyDescent="0.2">
      <c r="B21" s="45" t="s">
        <v>168</v>
      </c>
      <c r="C21" s="137" t="s">
        <v>275</v>
      </c>
      <c r="D21" s="138"/>
      <c r="E21" s="138"/>
      <c r="F21" s="138"/>
      <c r="G21" s="138"/>
      <c r="H21" s="138"/>
      <c r="I21" s="138"/>
      <c r="J21" s="138"/>
      <c r="K21" s="138"/>
      <c r="L21" s="138"/>
    </row>
    <row r="22" spans="1:62" x14ac:dyDescent="0.2">
      <c r="A22" s="38" t="s">
        <v>89</v>
      </c>
      <c r="B22" s="38" t="s">
        <v>169</v>
      </c>
      <c r="C22" s="131" t="s">
        <v>276</v>
      </c>
      <c r="D22" s="132"/>
      <c r="E22" s="132"/>
      <c r="F22" s="38" t="s">
        <v>420</v>
      </c>
      <c r="G22" s="48">
        <v>0.11</v>
      </c>
      <c r="H22" s="148">
        <v>0</v>
      </c>
      <c r="I22" s="148">
        <f>G22*AO22</f>
        <v>0</v>
      </c>
      <c r="J22" s="148">
        <f>G22*AP22</f>
        <v>0</v>
      </c>
      <c r="K22" s="48">
        <f>G22*H22</f>
        <v>0</v>
      </c>
      <c r="L22" s="58" t="s">
        <v>434</v>
      </c>
      <c r="Z22" s="30">
        <f>IF(AQ22="5",BJ22,0)</f>
        <v>0</v>
      </c>
      <c r="AB22" s="30">
        <f>IF(AQ22="1",BH22,0)</f>
        <v>0</v>
      </c>
      <c r="AC22" s="30">
        <f>IF(AQ22="1",BI22,0)</f>
        <v>0</v>
      </c>
      <c r="AD22" s="30">
        <f>IF(AQ22="7",BH22,0)</f>
        <v>0</v>
      </c>
      <c r="AE22" s="30">
        <f>IF(AQ22="7",BI22,0)</f>
        <v>0</v>
      </c>
      <c r="AF22" s="30">
        <f>IF(AQ22="2",BH22,0)</f>
        <v>0</v>
      </c>
      <c r="AG22" s="30">
        <f>IF(AQ22="2",BI22,0)</f>
        <v>0</v>
      </c>
      <c r="AH22" s="30">
        <f>IF(AQ22="0",BJ22,0)</f>
        <v>0</v>
      </c>
      <c r="AI22" s="57" t="s">
        <v>60</v>
      </c>
      <c r="AJ22" s="48">
        <f>IF(AN22=0,K22,0)</f>
        <v>0</v>
      </c>
      <c r="AK22" s="48">
        <f>IF(AN22=15,K22,0)</f>
        <v>0</v>
      </c>
      <c r="AL22" s="48">
        <f>IF(AN22=21,K22,0)</f>
        <v>0</v>
      </c>
      <c r="AN22" s="30">
        <v>21</v>
      </c>
      <c r="AO22" s="30">
        <f>H22*0.523835327234342</f>
        <v>0</v>
      </c>
      <c r="AP22" s="30">
        <f>H22*(1-0.523835327234342)</f>
        <v>0</v>
      </c>
      <c r="AQ22" s="58" t="s">
        <v>87</v>
      </c>
      <c r="AV22" s="30">
        <f>AW22+AX22</f>
        <v>0</v>
      </c>
      <c r="AW22" s="30">
        <f>G22*AO22</f>
        <v>0</v>
      </c>
      <c r="AX22" s="30">
        <f>G22*AP22</f>
        <v>0</v>
      </c>
      <c r="AY22" s="61" t="s">
        <v>447</v>
      </c>
      <c r="AZ22" s="61" t="s">
        <v>465</v>
      </c>
      <c r="BA22" s="57" t="s">
        <v>475</v>
      </c>
      <c r="BC22" s="30">
        <f>AW22+AX22</f>
        <v>0</v>
      </c>
      <c r="BD22" s="30">
        <f>H22/(100-BE22)*100</f>
        <v>0</v>
      </c>
      <c r="BE22" s="30">
        <v>0</v>
      </c>
      <c r="BF22" s="30">
        <f>22</f>
        <v>22</v>
      </c>
      <c r="BH22" s="48">
        <f>G22*AO22</f>
        <v>0</v>
      </c>
      <c r="BI22" s="48">
        <f>G22*AP22</f>
        <v>0</v>
      </c>
      <c r="BJ22" s="48">
        <f>G22*H22</f>
        <v>0</v>
      </c>
    </row>
    <row r="23" spans="1:62" x14ac:dyDescent="0.2">
      <c r="C23" s="135" t="s">
        <v>277</v>
      </c>
      <c r="D23" s="136"/>
      <c r="E23" s="136"/>
      <c r="G23" s="49">
        <v>0.11</v>
      </c>
    </row>
    <row r="24" spans="1:62" x14ac:dyDescent="0.2">
      <c r="A24" s="37"/>
      <c r="B24" s="44" t="s">
        <v>170</v>
      </c>
      <c r="C24" s="129" t="s">
        <v>278</v>
      </c>
      <c r="D24" s="130"/>
      <c r="E24" s="130"/>
      <c r="F24" s="37" t="s">
        <v>58</v>
      </c>
      <c r="G24" s="37" t="s">
        <v>58</v>
      </c>
      <c r="H24" s="37" t="s">
        <v>58</v>
      </c>
      <c r="I24" s="63">
        <f>SUM(I25:I58)</f>
        <v>0</v>
      </c>
      <c r="J24" s="63">
        <f>SUM(J25:J58)</f>
        <v>0</v>
      </c>
      <c r="K24" s="63">
        <f>SUM(K25:K58)</f>
        <v>0</v>
      </c>
      <c r="L24" s="57"/>
      <c r="AI24" s="57" t="s">
        <v>60</v>
      </c>
      <c r="AS24" s="63">
        <f>SUM(AJ25:AJ58)</f>
        <v>0</v>
      </c>
      <c r="AT24" s="63">
        <f>SUM(AK25:AK58)</f>
        <v>0</v>
      </c>
      <c r="AU24" s="63">
        <f>SUM(AL25:AL58)</f>
        <v>0</v>
      </c>
    </row>
    <row r="25" spans="1:62" x14ac:dyDescent="0.2">
      <c r="A25" s="38" t="s">
        <v>90</v>
      </c>
      <c r="B25" s="38" t="s">
        <v>171</v>
      </c>
      <c r="C25" s="131" t="s">
        <v>279</v>
      </c>
      <c r="D25" s="132"/>
      <c r="E25" s="132"/>
      <c r="F25" s="38" t="s">
        <v>421</v>
      </c>
      <c r="G25" s="48">
        <v>5</v>
      </c>
      <c r="H25" s="148">
        <v>0</v>
      </c>
      <c r="I25" s="148">
        <f>G25*AO25</f>
        <v>0</v>
      </c>
      <c r="J25" s="148">
        <f>G25*AP25</f>
        <v>0</v>
      </c>
      <c r="K25" s="48">
        <f>G25*H25</f>
        <v>0</v>
      </c>
      <c r="L25" s="58" t="s">
        <v>434</v>
      </c>
      <c r="Z25" s="30">
        <f>IF(AQ25="5",BJ25,0)</f>
        <v>0</v>
      </c>
      <c r="AB25" s="30">
        <f>IF(AQ25="1",BH25,0)</f>
        <v>0</v>
      </c>
      <c r="AC25" s="30">
        <f>IF(AQ25="1",BI25,0)</f>
        <v>0</v>
      </c>
      <c r="AD25" s="30">
        <f>IF(AQ25="7",BH25,0)</f>
        <v>0</v>
      </c>
      <c r="AE25" s="30">
        <f>IF(AQ25="7",BI25,0)</f>
        <v>0</v>
      </c>
      <c r="AF25" s="30">
        <f>IF(AQ25="2",BH25,0)</f>
        <v>0</v>
      </c>
      <c r="AG25" s="30">
        <f>IF(AQ25="2",BI25,0)</f>
        <v>0</v>
      </c>
      <c r="AH25" s="30">
        <f>IF(AQ25="0",BJ25,0)</f>
        <v>0</v>
      </c>
      <c r="AI25" s="57" t="s">
        <v>60</v>
      </c>
      <c r="AJ25" s="48">
        <f>IF(AN25=0,K25,0)</f>
        <v>0</v>
      </c>
      <c r="AK25" s="48">
        <f>IF(AN25=15,K25,0)</f>
        <v>0</v>
      </c>
      <c r="AL25" s="48">
        <f>IF(AN25=21,K25,0)</f>
        <v>0</v>
      </c>
      <c r="AN25" s="30">
        <v>21</v>
      </c>
      <c r="AO25" s="30">
        <f>H25*0.221240768094535</f>
        <v>0</v>
      </c>
      <c r="AP25" s="30">
        <f>H25*(1-0.221240768094535)</f>
        <v>0</v>
      </c>
      <c r="AQ25" s="58" t="s">
        <v>92</v>
      </c>
      <c r="AV25" s="30">
        <f>AW25+AX25</f>
        <v>0</v>
      </c>
      <c r="AW25" s="30">
        <f>G25*AO25</f>
        <v>0</v>
      </c>
      <c r="AX25" s="30">
        <f>G25*AP25</f>
        <v>0</v>
      </c>
      <c r="AY25" s="61" t="s">
        <v>448</v>
      </c>
      <c r="AZ25" s="61" t="s">
        <v>466</v>
      </c>
      <c r="BA25" s="57" t="s">
        <v>475</v>
      </c>
      <c r="BC25" s="30">
        <f>AW25+AX25</f>
        <v>0</v>
      </c>
      <c r="BD25" s="30">
        <f>H25/(100-BE25)*100</f>
        <v>0</v>
      </c>
      <c r="BE25" s="30">
        <v>0</v>
      </c>
      <c r="BF25" s="30">
        <f>25</f>
        <v>25</v>
      </c>
      <c r="BH25" s="48">
        <f>G25*AO25</f>
        <v>0</v>
      </c>
      <c r="BI25" s="48">
        <f>G25*AP25</f>
        <v>0</v>
      </c>
      <c r="BJ25" s="48">
        <f>G25*H25</f>
        <v>0</v>
      </c>
    </row>
    <row r="26" spans="1:62" x14ac:dyDescent="0.2">
      <c r="C26" s="135" t="s">
        <v>280</v>
      </c>
      <c r="D26" s="136"/>
      <c r="E26" s="136"/>
      <c r="G26" s="49">
        <v>5</v>
      </c>
    </row>
    <row r="27" spans="1:62" x14ac:dyDescent="0.2">
      <c r="A27" s="38" t="s">
        <v>91</v>
      </c>
      <c r="B27" s="38" t="s">
        <v>172</v>
      </c>
      <c r="C27" s="131" t="s">
        <v>281</v>
      </c>
      <c r="D27" s="132"/>
      <c r="E27" s="132"/>
      <c r="F27" s="38" t="s">
        <v>421</v>
      </c>
      <c r="G27" s="48">
        <v>3</v>
      </c>
      <c r="H27" s="148">
        <v>0</v>
      </c>
      <c r="I27" s="148">
        <f>G27*AO27</f>
        <v>0</v>
      </c>
      <c r="J27" s="148">
        <f>G27*AP27</f>
        <v>0</v>
      </c>
      <c r="K27" s="48">
        <f>G27*H27</f>
        <v>0</v>
      </c>
      <c r="L27" s="58" t="s">
        <v>434</v>
      </c>
      <c r="Z27" s="30">
        <f>IF(AQ27="5",BJ27,0)</f>
        <v>0</v>
      </c>
      <c r="AB27" s="30">
        <f>IF(AQ27="1",BH27,0)</f>
        <v>0</v>
      </c>
      <c r="AC27" s="30">
        <f>IF(AQ27="1",BI27,0)</f>
        <v>0</v>
      </c>
      <c r="AD27" s="30">
        <f>IF(AQ27="7",BH27,0)</f>
        <v>0</v>
      </c>
      <c r="AE27" s="30">
        <f>IF(AQ27="7",BI27,0)</f>
        <v>0</v>
      </c>
      <c r="AF27" s="30">
        <f>IF(AQ27="2",BH27,0)</f>
        <v>0</v>
      </c>
      <c r="AG27" s="30">
        <f>IF(AQ27="2",BI27,0)</f>
        <v>0</v>
      </c>
      <c r="AH27" s="30">
        <f>IF(AQ27="0",BJ27,0)</f>
        <v>0</v>
      </c>
      <c r="AI27" s="57" t="s">
        <v>60</v>
      </c>
      <c r="AJ27" s="48">
        <f>IF(AN27=0,K27,0)</f>
        <v>0</v>
      </c>
      <c r="AK27" s="48">
        <f>IF(AN27=15,K27,0)</f>
        <v>0</v>
      </c>
      <c r="AL27" s="48">
        <f>IF(AN27=21,K27,0)</f>
        <v>0</v>
      </c>
      <c r="AN27" s="30">
        <v>21</v>
      </c>
      <c r="AO27" s="30">
        <f>H27*0.23260579064588</f>
        <v>0</v>
      </c>
      <c r="AP27" s="30">
        <f>H27*(1-0.23260579064588)</f>
        <v>0</v>
      </c>
      <c r="AQ27" s="58" t="s">
        <v>92</v>
      </c>
      <c r="AV27" s="30">
        <f>AW27+AX27</f>
        <v>0</v>
      </c>
      <c r="AW27" s="30">
        <f>G27*AO27</f>
        <v>0</v>
      </c>
      <c r="AX27" s="30">
        <f>G27*AP27</f>
        <v>0</v>
      </c>
      <c r="AY27" s="61" t="s">
        <v>448</v>
      </c>
      <c r="AZ27" s="61" t="s">
        <v>466</v>
      </c>
      <c r="BA27" s="57" t="s">
        <v>475</v>
      </c>
      <c r="BC27" s="30">
        <f>AW27+AX27</f>
        <v>0</v>
      </c>
      <c r="BD27" s="30">
        <f>H27/(100-BE27)*100</f>
        <v>0</v>
      </c>
      <c r="BE27" s="30">
        <v>0</v>
      </c>
      <c r="BF27" s="30">
        <f>27</f>
        <v>27</v>
      </c>
      <c r="BH27" s="48">
        <f>G27*AO27</f>
        <v>0</v>
      </c>
      <c r="BI27" s="48">
        <f>G27*AP27</f>
        <v>0</v>
      </c>
      <c r="BJ27" s="48">
        <f>G27*H27</f>
        <v>0</v>
      </c>
    </row>
    <row r="28" spans="1:62" x14ac:dyDescent="0.2">
      <c r="C28" s="135" t="s">
        <v>282</v>
      </c>
      <c r="D28" s="136"/>
      <c r="E28" s="136"/>
      <c r="G28" s="49">
        <v>3</v>
      </c>
    </row>
    <row r="29" spans="1:62" x14ac:dyDescent="0.2">
      <c r="A29" s="38" t="s">
        <v>74</v>
      </c>
      <c r="B29" s="38" t="s">
        <v>173</v>
      </c>
      <c r="C29" s="131" t="s">
        <v>283</v>
      </c>
      <c r="D29" s="132"/>
      <c r="E29" s="132"/>
      <c r="F29" s="38" t="s">
        <v>421</v>
      </c>
      <c r="G29" s="48">
        <v>4</v>
      </c>
      <c r="H29" s="148">
        <v>0</v>
      </c>
      <c r="I29" s="148">
        <f>G29*AO29</f>
        <v>0</v>
      </c>
      <c r="J29" s="148">
        <f>G29*AP29</f>
        <v>0</v>
      </c>
      <c r="K29" s="48">
        <f>G29*H29</f>
        <v>0</v>
      </c>
      <c r="L29" s="58" t="s">
        <v>434</v>
      </c>
      <c r="Z29" s="30">
        <f>IF(AQ29="5",BJ29,0)</f>
        <v>0</v>
      </c>
      <c r="AB29" s="30">
        <f>IF(AQ29="1",BH29,0)</f>
        <v>0</v>
      </c>
      <c r="AC29" s="30">
        <f>IF(AQ29="1",BI29,0)</f>
        <v>0</v>
      </c>
      <c r="AD29" s="30">
        <f>IF(AQ29="7",BH29,0)</f>
        <v>0</v>
      </c>
      <c r="AE29" s="30">
        <f>IF(AQ29="7",BI29,0)</f>
        <v>0</v>
      </c>
      <c r="AF29" s="30">
        <f>IF(AQ29="2",BH29,0)</f>
        <v>0</v>
      </c>
      <c r="AG29" s="30">
        <f>IF(AQ29="2",BI29,0)</f>
        <v>0</v>
      </c>
      <c r="AH29" s="30">
        <f>IF(AQ29="0",BJ29,0)</f>
        <v>0</v>
      </c>
      <c r="AI29" s="57" t="s">
        <v>60</v>
      </c>
      <c r="AJ29" s="48">
        <f>IF(AN29=0,K29,0)</f>
        <v>0</v>
      </c>
      <c r="AK29" s="48">
        <f>IF(AN29=15,K29,0)</f>
        <v>0</v>
      </c>
      <c r="AL29" s="48">
        <f>IF(AN29=21,K29,0)</f>
        <v>0</v>
      </c>
      <c r="AN29" s="30">
        <v>21</v>
      </c>
      <c r="AO29" s="30">
        <f>H29*0</f>
        <v>0</v>
      </c>
      <c r="AP29" s="30">
        <f>H29*(1-0)</f>
        <v>0</v>
      </c>
      <c r="AQ29" s="58" t="s">
        <v>92</v>
      </c>
      <c r="AV29" s="30">
        <f>AW29+AX29</f>
        <v>0</v>
      </c>
      <c r="AW29" s="30">
        <f>G29*AO29</f>
        <v>0</v>
      </c>
      <c r="AX29" s="30">
        <f>G29*AP29</f>
        <v>0</v>
      </c>
      <c r="AY29" s="61" t="s">
        <v>448</v>
      </c>
      <c r="AZ29" s="61" t="s">
        <v>466</v>
      </c>
      <c r="BA29" s="57" t="s">
        <v>475</v>
      </c>
      <c r="BC29" s="30">
        <f>AW29+AX29</f>
        <v>0</v>
      </c>
      <c r="BD29" s="30">
        <f>H29/(100-BE29)*100</f>
        <v>0</v>
      </c>
      <c r="BE29" s="30">
        <v>0</v>
      </c>
      <c r="BF29" s="30">
        <f>29</f>
        <v>29</v>
      </c>
      <c r="BH29" s="48">
        <f>G29*AO29</f>
        <v>0</v>
      </c>
      <c r="BI29" s="48">
        <f>G29*AP29</f>
        <v>0</v>
      </c>
      <c r="BJ29" s="48">
        <f>G29*H29</f>
        <v>0</v>
      </c>
    </row>
    <row r="30" spans="1:62" x14ac:dyDescent="0.2">
      <c r="C30" s="135" t="s">
        <v>284</v>
      </c>
      <c r="D30" s="136"/>
      <c r="E30" s="136"/>
      <c r="G30" s="49">
        <v>4</v>
      </c>
    </row>
    <row r="31" spans="1:62" x14ac:dyDescent="0.2">
      <c r="A31" s="38" t="s">
        <v>92</v>
      </c>
      <c r="B31" s="38" t="s">
        <v>174</v>
      </c>
      <c r="C31" s="131" t="s">
        <v>285</v>
      </c>
      <c r="D31" s="132"/>
      <c r="E31" s="132"/>
      <c r="F31" s="38" t="s">
        <v>421</v>
      </c>
      <c r="G31" s="48">
        <v>3</v>
      </c>
      <c r="H31" s="148">
        <v>0</v>
      </c>
      <c r="I31" s="148">
        <f>G31*AO31</f>
        <v>0</v>
      </c>
      <c r="J31" s="148">
        <f>G31*AP31</f>
        <v>0</v>
      </c>
      <c r="K31" s="48">
        <f>G31*H31</f>
        <v>0</v>
      </c>
      <c r="L31" s="58" t="s">
        <v>434</v>
      </c>
      <c r="Z31" s="30">
        <f>IF(AQ31="5",BJ31,0)</f>
        <v>0</v>
      </c>
      <c r="AB31" s="30">
        <f>IF(AQ31="1",BH31,0)</f>
        <v>0</v>
      </c>
      <c r="AC31" s="30">
        <f>IF(AQ31="1",BI31,0)</f>
        <v>0</v>
      </c>
      <c r="AD31" s="30">
        <f>IF(AQ31="7",BH31,0)</f>
        <v>0</v>
      </c>
      <c r="AE31" s="30">
        <f>IF(AQ31="7",BI31,0)</f>
        <v>0</v>
      </c>
      <c r="AF31" s="30">
        <f>IF(AQ31="2",BH31,0)</f>
        <v>0</v>
      </c>
      <c r="AG31" s="30">
        <f>IF(AQ31="2",BI31,0)</f>
        <v>0</v>
      </c>
      <c r="AH31" s="30">
        <f>IF(AQ31="0",BJ31,0)</f>
        <v>0</v>
      </c>
      <c r="AI31" s="57" t="s">
        <v>60</v>
      </c>
      <c r="AJ31" s="48">
        <f>IF(AN31=0,K31,0)</f>
        <v>0</v>
      </c>
      <c r="AK31" s="48">
        <f>IF(AN31=15,K31,0)</f>
        <v>0</v>
      </c>
      <c r="AL31" s="48">
        <f>IF(AN31=21,K31,0)</f>
        <v>0</v>
      </c>
      <c r="AN31" s="30">
        <v>21</v>
      </c>
      <c r="AO31" s="30">
        <f>H31*0</f>
        <v>0</v>
      </c>
      <c r="AP31" s="30">
        <f>H31*(1-0)</f>
        <v>0</v>
      </c>
      <c r="AQ31" s="58" t="s">
        <v>92</v>
      </c>
      <c r="AV31" s="30">
        <f>AW31+AX31</f>
        <v>0</v>
      </c>
      <c r="AW31" s="30">
        <f>G31*AO31</f>
        <v>0</v>
      </c>
      <c r="AX31" s="30">
        <f>G31*AP31</f>
        <v>0</v>
      </c>
      <c r="AY31" s="61" t="s">
        <v>448</v>
      </c>
      <c r="AZ31" s="61" t="s">
        <v>466</v>
      </c>
      <c r="BA31" s="57" t="s">
        <v>475</v>
      </c>
      <c r="BC31" s="30">
        <f>AW31+AX31</f>
        <v>0</v>
      </c>
      <c r="BD31" s="30">
        <f>H31/(100-BE31)*100</f>
        <v>0</v>
      </c>
      <c r="BE31" s="30">
        <v>0</v>
      </c>
      <c r="BF31" s="30">
        <f>31</f>
        <v>31</v>
      </c>
      <c r="BH31" s="48">
        <f>G31*AO31</f>
        <v>0</v>
      </c>
      <c r="BI31" s="48">
        <f>G31*AP31</f>
        <v>0</v>
      </c>
      <c r="BJ31" s="48">
        <f>G31*H31</f>
        <v>0</v>
      </c>
    </row>
    <row r="32" spans="1:62" x14ac:dyDescent="0.2">
      <c r="C32" s="135" t="s">
        <v>282</v>
      </c>
      <c r="D32" s="136"/>
      <c r="E32" s="136"/>
      <c r="G32" s="49">
        <v>3</v>
      </c>
    </row>
    <row r="33" spans="1:62" x14ac:dyDescent="0.2">
      <c r="A33" s="38" t="s">
        <v>76</v>
      </c>
      <c r="B33" s="38" t="s">
        <v>175</v>
      </c>
      <c r="C33" s="131" t="s">
        <v>286</v>
      </c>
      <c r="D33" s="132"/>
      <c r="E33" s="132"/>
      <c r="F33" s="38" t="s">
        <v>421</v>
      </c>
      <c r="G33" s="48">
        <v>3</v>
      </c>
      <c r="H33" s="148">
        <v>0</v>
      </c>
      <c r="I33" s="148">
        <f>G33*AO33</f>
        <v>0</v>
      </c>
      <c r="J33" s="148">
        <f>G33*AP33</f>
        <v>0</v>
      </c>
      <c r="K33" s="48">
        <f>G33*H33</f>
        <v>0</v>
      </c>
      <c r="L33" s="58" t="s">
        <v>434</v>
      </c>
      <c r="Z33" s="30">
        <f>IF(AQ33="5",BJ33,0)</f>
        <v>0</v>
      </c>
      <c r="AB33" s="30">
        <f>IF(AQ33="1",BH33,0)</f>
        <v>0</v>
      </c>
      <c r="AC33" s="30">
        <f>IF(AQ33="1",BI33,0)</f>
        <v>0</v>
      </c>
      <c r="AD33" s="30">
        <f>IF(AQ33="7",BH33,0)</f>
        <v>0</v>
      </c>
      <c r="AE33" s="30">
        <f>IF(AQ33="7",BI33,0)</f>
        <v>0</v>
      </c>
      <c r="AF33" s="30">
        <f>IF(AQ33="2",BH33,0)</f>
        <v>0</v>
      </c>
      <c r="AG33" s="30">
        <f>IF(AQ33="2",BI33,0)</f>
        <v>0</v>
      </c>
      <c r="AH33" s="30">
        <f>IF(AQ33="0",BJ33,0)</f>
        <v>0</v>
      </c>
      <c r="AI33" s="57" t="s">
        <v>60</v>
      </c>
      <c r="AJ33" s="48">
        <f>IF(AN33=0,K33,0)</f>
        <v>0</v>
      </c>
      <c r="AK33" s="48">
        <f>IF(AN33=15,K33,0)</f>
        <v>0</v>
      </c>
      <c r="AL33" s="48">
        <f>IF(AN33=21,K33,0)</f>
        <v>0</v>
      </c>
      <c r="AN33" s="30">
        <v>21</v>
      </c>
      <c r="AO33" s="30">
        <f>H33*0.739761904761905</f>
        <v>0</v>
      </c>
      <c r="AP33" s="30">
        <f>H33*(1-0.739761904761905)</f>
        <v>0</v>
      </c>
      <c r="AQ33" s="58" t="s">
        <v>92</v>
      </c>
      <c r="AV33" s="30">
        <f>AW33+AX33</f>
        <v>0</v>
      </c>
      <c r="AW33" s="30">
        <f>G33*AO33</f>
        <v>0</v>
      </c>
      <c r="AX33" s="30">
        <f>G33*AP33</f>
        <v>0</v>
      </c>
      <c r="AY33" s="61" t="s">
        <v>448</v>
      </c>
      <c r="AZ33" s="61" t="s">
        <v>466</v>
      </c>
      <c r="BA33" s="57" t="s">
        <v>475</v>
      </c>
      <c r="BC33" s="30">
        <f>AW33+AX33</f>
        <v>0</v>
      </c>
      <c r="BD33" s="30">
        <f>H33/(100-BE33)*100</f>
        <v>0</v>
      </c>
      <c r="BE33" s="30">
        <v>0</v>
      </c>
      <c r="BF33" s="30">
        <f>33</f>
        <v>33</v>
      </c>
      <c r="BH33" s="48">
        <f>G33*AO33</f>
        <v>0</v>
      </c>
      <c r="BI33" s="48">
        <f>G33*AP33</f>
        <v>0</v>
      </c>
      <c r="BJ33" s="48">
        <f>G33*H33</f>
        <v>0</v>
      </c>
    </row>
    <row r="34" spans="1:62" x14ac:dyDescent="0.2">
      <c r="C34" s="135" t="s">
        <v>282</v>
      </c>
      <c r="D34" s="136"/>
      <c r="E34" s="136"/>
      <c r="G34" s="49">
        <v>3</v>
      </c>
    </row>
    <row r="35" spans="1:62" x14ac:dyDescent="0.2">
      <c r="A35" s="38" t="s">
        <v>77</v>
      </c>
      <c r="B35" s="38" t="s">
        <v>176</v>
      </c>
      <c r="C35" s="131" t="s">
        <v>287</v>
      </c>
      <c r="D35" s="132"/>
      <c r="E35" s="132"/>
      <c r="F35" s="38" t="s">
        <v>422</v>
      </c>
      <c r="G35" s="48">
        <v>19</v>
      </c>
      <c r="H35" s="148">
        <v>0</v>
      </c>
      <c r="I35" s="148">
        <f>G35*AO35</f>
        <v>0</v>
      </c>
      <c r="J35" s="148">
        <f>G35*AP35</f>
        <v>0</v>
      </c>
      <c r="K35" s="48">
        <f>G35*H35</f>
        <v>0</v>
      </c>
      <c r="L35" s="58" t="s">
        <v>434</v>
      </c>
      <c r="Z35" s="30">
        <f>IF(AQ35="5",BJ35,0)</f>
        <v>0</v>
      </c>
      <c r="AB35" s="30">
        <f>IF(AQ35="1",BH35,0)</f>
        <v>0</v>
      </c>
      <c r="AC35" s="30">
        <f>IF(AQ35="1",BI35,0)</f>
        <v>0</v>
      </c>
      <c r="AD35" s="30">
        <f>IF(AQ35="7",BH35,0)</f>
        <v>0</v>
      </c>
      <c r="AE35" s="30">
        <f>IF(AQ35="7",BI35,0)</f>
        <v>0</v>
      </c>
      <c r="AF35" s="30">
        <f>IF(AQ35="2",BH35,0)</f>
        <v>0</v>
      </c>
      <c r="AG35" s="30">
        <f>IF(AQ35="2",BI35,0)</f>
        <v>0</v>
      </c>
      <c r="AH35" s="30">
        <f>IF(AQ35="0",BJ35,0)</f>
        <v>0</v>
      </c>
      <c r="AI35" s="57" t="s">
        <v>60</v>
      </c>
      <c r="AJ35" s="48">
        <f>IF(AN35=0,K35,0)</f>
        <v>0</v>
      </c>
      <c r="AK35" s="48">
        <f>IF(AN35=15,K35,0)</f>
        <v>0</v>
      </c>
      <c r="AL35" s="48">
        <f>IF(AN35=21,K35,0)</f>
        <v>0</v>
      </c>
      <c r="AN35" s="30">
        <v>21</v>
      </c>
      <c r="AO35" s="30">
        <f>H35*0</f>
        <v>0</v>
      </c>
      <c r="AP35" s="30">
        <f>H35*(1-0)</f>
        <v>0</v>
      </c>
      <c r="AQ35" s="58" t="s">
        <v>92</v>
      </c>
      <c r="AV35" s="30">
        <f>AW35+AX35</f>
        <v>0</v>
      </c>
      <c r="AW35" s="30">
        <f>G35*AO35</f>
        <v>0</v>
      </c>
      <c r="AX35" s="30">
        <f>G35*AP35</f>
        <v>0</v>
      </c>
      <c r="AY35" s="61" t="s">
        <v>448</v>
      </c>
      <c r="AZ35" s="61" t="s">
        <v>466</v>
      </c>
      <c r="BA35" s="57" t="s">
        <v>475</v>
      </c>
      <c r="BC35" s="30">
        <f>AW35+AX35</f>
        <v>0</v>
      </c>
      <c r="BD35" s="30">
        <f>H35/(100-BE35)*100</f>
        <v>0</v>
      </c>
      <c r="BE35" s="30">
        <v>0</v>
      </c>
      <c r="BF35" s="30">
        <f>35</f>
        <v>35</v>
      </c>
      <c r="BH35" s="48">
        <f>G35*AO35</f>
        <v>0</v>
      </c>
      <c r="BI35" s="48">
        <f>G35*AP35</f>
        <v>0</v>
      </c>
      <c r="BJ35" s="48">
        <f>G35*H35</f>
        <v>0</v>
      </c>
    </row>
    <row r="36" spans="1:62" x14ac:dyDescent="0.2">
      <c r="C36" s="135" t="s">
        <v>288</v>
      </c>
      <c r="D36" s="136"/>
      <c r="E36" s="136"/>
      <c r="G36" s="49">
        <v>19</v>
      </c>
    </row>
    <row r="37" spans="1:62" x14ac:dyDescent="0.2">
      <c r="A37" s="38" t="s">
        <v>93</v>
      </c>
      <c r="B37" s="38" t="s">
        <v>177</v>
      </c>
      <c r="C37" s="131" t="s">
        <v>289</v>
      </c>
      <c r="D37" s="132"/>
      <c r="E37" s="132"/>
      <c r="F37" s="38" t="s">
        <v>422</v>
      </c>
      <c r="G37" s="48">
        <v>3</v>
      </c>
      <c r="H37" s="148">
        <v>0</v>
      </c>
      <c r="I37" s="148">
        <f>G37*AO37</f>
        <v>0</v>
      </c>
      <c r="J37" s="148">
        <f>G37*AP37</f>
        <v>0</v>
      </c>
      <c r="K37" s="48">
        <f>G37*H37</f>
        <v>0</v>
      </c>
      <c r="L37" s="58" t="s">
        <v>434</v>
      </c>
      <c r="Z37" s="30">
        <f>IF(AQ37="5",BJ37,0)</f>
        <v>0</v>
      </c>
      <c r="AB37" s="30">
        <f>IF(AQ37="1",BH37,0)</f>
        <v>0</v>
      </c>
      <c r="AC37" s="30">
        <f>IF(AQ37="1",BI37,0)</f>
        <v>0</v>
      </c>
      <c r="AD37" s="30">
        <f>IF(AQ37="7",BH37,0)</f>
        <v>0</v>
      </c>
      <c r="AE37" s="30">
        <f>IF(AQ37="7",BI37,0)</f>
        <v>0</v>
      </c>
      <c r="AF37" s="30">
        <f>IF(AQ37="2",BH37,0)</f>
        <v>0</v>
      </c>
      <c r="AG37" s="30">
        <f>IF(AQ37="2",BI37,0)</f>
        <v>0</v>
      </c>
      <c r="AH37" s="30">
        <f>IF(AQ37="0",BJ37,0)</f>
        <v>0</v>
      </c>
      <c r="AI37" s="57" t="s">
        <v>60</v>
      </c>
      <c r="AJ37" s="48">
        <f>IF(AN37=0,K37,0)</f>
        <v>0</v>
      </c>
      <c r="AK37" s="48">
        <f>IF(AN37=15,K37,0)</f>
        <v>0</v>
      </c>
      <c r="AL37" s="48">
        <f>IF(AN37=21,K37,0)</f>
        <v>0</v>
      </c>
      <c r="AN37" s="30">
        <v>21</v>
      </c>
      <c r="AO37" s="30">
        <f>H37*0</f>
        <v>0</v>
      </c>
      <c r="AP37" s="30">
        <f>H37*(1-0)</f>
        <v>0</v>
      </c>
      <c r="AQ37" s="58" t="s">
        <v>92</v>
      </c>
      <c r="AV37" s="30">
        <f>AW37+AX37</f>
        <v>0</v>
      </c>
      <c r="AW37" s="30">
        <f>G37*AO37</f>
        <v>0</v>
      </c>
      <c r="AX37" s="30">
        <f>G37*AP37</f>
        <v>0</v>
      </c>
      <c r="AY37" s="61" t="s">
        <v>448</v>
      </c>
      <c r="AZ37" s="61" t="s">
        <v>466</v>
      </c>
      <c r="BA37" s="57" t="s">
        <v>475</v>
      </c>
      <c r="BC37" s="30">
        <f>AW37+AX37</f>
        <v>0</v>
      </c>
      <c r="BD37" s="30">
        <f>H37/(100-BE37)*100</f>
        <v>0</v>
      </c>
      <c r="BE37" s="30">
        <v>0</v>
      </c>
      <c r="BF37" s="30">
        <f>37</f>
        <v>37</v>
      </c>
      <c r="BH37" s="48">
        <f>G37*AO37</f>
        <v>0</v>
      </c>
      <c r="BI37" s="48">
        <f>G37*AP37</f>
        <v>0</v>
      </c>
      <c r="BJ37" s="48">
        <f>G37*H37</f>
        <v>0</v>
      </c>
    </row>
    <row r="38" spans="1:62" x14ac:dyDescent="0.2">
      <c r="C38" s="135" t="s">
        <v>282</v>
      </c>
      <c r="D38" s="136"/>
      <c r="E38" s="136"/>
      <c r="G38" s="49">
        <v>3</v>
      </c>
    </row>
    <row r="39" spans="1:62" x14ac:dyDescent="0.2">
      <c r="A39" s="38" t="s">
        <v>94</v>
      </c>
      <c r="B39" s="38" t="s">
        <v>178</v>
      </c>
      <c r="C39" s="131" t="s">
        <v>290</v>
      </c>
      <c r="D39" s="132"/>
      <c r="E39" s="132"/>
      <c r="F39" s="38" t="s">
        <v>422</v>
      </c>
      <c r="G39" s="48">
        <v>6</v>
      </c>
      <c r="H39" s="148">
        <v>0</v>
      </c>
      <c r="I39" s="148">
        <f>G39*AO39</f>
        <v>0</v>
      </c>
      <c r="J39" s="148">
        <f>G39*AP39</f>
        <v>0</v>
      </c>
      <c r="K39" s="48">
        <f>G39*H39</f>
        <v>0</v>
      </c>
      <c r="L39" s="58" t="s">
        <v>434</v>
      </c>
      <c r="Z39" s="30">
        <f>IF(AQ39="5",BJ39,0)</f>
        <v>0</v>
      </c>
      <c r="AB39" s="30">
        <f>IF(AQ39="1",BH39,0)</f>
        <v>0</v>
      </c>
      <c r="AC39" s="30">
        <f>IF(AQ39="1",BI39,0)</f>
        <v>0</v>
      </c>
      <c r="AD39" s="30">
        <f>IF(AQ39="7",BH39,0)</f>
        <v>0</v>
      </c>
      <c r="AE39" s="30">
        <f>IF(AQ39="7",BI39,0)</f>
        <v>0</v>
      </c>
      <c r="AF39" s="30">
        <f>IF(AQ39="2",BH39,0)</f>
        <v>0</v>
      </c>
      <c r="AG39" s="30">
        <f>IF(AQ39="2",BI39,0)</f>
        <v>0</v>
      </c>
      <c r="AH39" s="30">
        <f>IF(AQ39="0",BJ39,0)</f>
        <v>0</v>
      </c>
      <c r="AI39" s="57" t="s">
        <v>60</v>
      </c>
      <c r="AJ39" s="48">
        <f>IF(AN39=0,K39,0)</f>
        <v>0</v>
      </c>
      <c r="AK39" s="48">
        <f>IF(AN39=15,K39,0)</f>
        <v>0</v>
      </c>
      <c r="AL39" s="48">
        <f>IF(AN39=21,K39,0)</f>
        <v>0</v>
      </c>
      <c r="AN39" s="30">
        <v>21</v>
      </c>
      <c r="AO39" s="30">
        <f>H39*0.386614122359325</f>
        <v>0</v>
      </c>
      <c r="AP39" s="30">
        <f>H39*(1-0.386614122359325)</f>
        <v>0</v>
      </c>
      <c r="AQ39" s="58" t="s">
        <v>92</v>
      </c>
      <c r="AV39" s="30">
        <f>AW39+AX39</f>
        <v>0</v>
      </c>
      <c r="AW39" s="30">
        <f>G39*AO39</f>
        <v>0</v>
      </c>
      <c r="AX39" s="30">
        <f>G39*AP39</f>
        <v>0</v>
      </c>
      <c r="AY39" s="61" t="s">
        <v>448</v>
      </c>
      <c r="AZ39" s="61" t="s">
        <v>466</v>
      </c>
      <c r="BA39" s="57" t="s">
        <v>475</v>
      </c>
      <c r="BC39" s="30">
        <f>AW39+AX39</f>
        <v>0</v>
      </c>
      <c r="BD39" s="30">
        <f>H39/(100-BE39)*100</f>
        <v>0</v>
      </c>
      <c r="BE39" s="30">
        <v>0</v>
      </c>
      <c r="BF39" s="30">
        <f>39</f>
        <v>39</v>
      </c>
      <c r="BH39" s="48">
        <f>G39*AO39</f>
        <v>0</v>
      </c>
      <c r="BI39" s="48">
        <f>G39*AP39</f>
        <v>0</v>
      </c>
      <c r="BJ39" s="48">
        <f>G39*H39</f>
        <v>0</v>
      </c>
    </row>
    <row r="40" spans="1:62" x14ac:dyDescent="0.2">
      <c r="C40" s="135" t="s">
        <v>291</v>
      </c>
      <c r="D40" s="136"/>
      <c r="E40" s="136"/>
      <c r="G40" s="49">
        <v>6</v>
      </c>
    </row>
    <row r="41" spans="1:62" x14ac:dyDescent="0.2">
      <c r="A41" s="38" t="s">
        <v>95</v>
      </c>
      <c r="B41" s="38" t="s">
        <v>179</v>
      </c>
      <c r="C41" s="131" t="s">
        <v>292</v>
      </c>
      <c r="D41" s="132"/>
      <c r="E41" s="132"/>
      <c r="F41" s="38" t="s">
        <v>422</v>
      </c>
      <c r="G41" s="48">
        <v>5</v>
      </c>
      <c r="H41" s="148">
        <v>0</v>
      </c>
      <c r="I41" s="148">
        <f>G41*AO41</f>
        <v>0</v>
      </c>
      <c r="J41" s="148">
        <f>G41*AP41</f>
        <v>0</v>
      </c>
      <c r="K41" s="48">
        <f>G41*H41</f>
        <v>0</v>
      </c>
      <c r="L41" s="58" t="s">
        <v>434</v>
      </c>
      <c r="Z41" s="30">
        <f>IF(AQ41="5",BJ41,0)</f>
        <v>0</v>
      </c>
      <c r="AB41" s="30">
        <f>IF(AQ41="1",BH41,0)</f>
        <v>0</v>
      </c>
      <c r="AC41" s="30">
        <f>IF(AQ41="1",BI41,0)</f>
        <v>0</v>
      </c>
      <c r="AD41" s="30">
        <f>IF(AQ41="7",BH41,0)</f>
        <v>0</v>
      </c>
      <c r="AE41" s="30">
        <f>IF(AQ41="7",BI41,0)</f>
        <v>0</v>
      </c>
      <c r="AF41" s="30">
        <f>IF(AQ41="2",BH41,0)</f>
        <v>0</v>
      </c>
      <c r="AG41" s="30">
        <f>IF(AQ41="2",BI41,0)</f>
        <v>0</v>
      </c>
      <c r="AH41" s="30">
        <f>IF(AQ41="0",BJ41,0)</f>
        <v>0</v>
      </c>
      <c r="AI41" s="57" t="s">
        <v>60</v>
      </c>
      <c r="AJ41" s="48">
        <f>IF(AN41=0,K41,0)</f>
        <v>0</v>
      </c>
      <c r="AK41" s="48">
        <f>IF(AN41=15,K41,0)</f>
        <v>0</v>
      </c>
      <c r="AL41" s="48">
        <f>IF(AN41=21,K41,0)</f>
        <v>0</v>
      </c>
      <c r="AN41" s="30">
        <v>21</v>
      </c>
      <c r="AO41" s="30">
        <f>H41*0.318502879078695</f>
        <v>0</v>
      </c>
      <c r="AP41" s="30">
        <f>H41*(1-0.318502879078695)</f>
        <v>0</v>
      </c>
      <c r="AQ41" s="58" t="s">
        <v>92</v>
      </c>
      <c r="AV41" s="30">
        <f>AW41+AX41</f>
        <v>0</v>
      </c>
      <c r="AW41" s="30">
        <f>G41*AO41</f>
        <v>0</v>
      </c>
      <c r="AX41" s="30">
        <f>G41*AP41</f>
        <v>0</v>
      </c>
      <c r="AY41" s="61" t="s">
        <v>448</v>
      </c>
      <c r="AZ41" s="61" t="s">
        <v>466</v>
      </c>
      <c r="BA41" s="57" t="s">
        <v>475</v>
      </c>
      <c r="BC41" s="30">
        <f>AW41+AX41</f>
        <v>0</v>
      </c>
      <c r="BD41" s="30">
        <f>H41/(100-BE41)*100</f>
        <v>0</v>
      </c>
      <c r="BE41" s="30">
        <v>0</v>
      </c>
      <c r="BF41" s="30">
        <f>41</f>
        <v>41</v>
      </c>
      <c r="BH41" s="48">
        <f>G41*AO41</f>
        <v>0</v>
      </c>
      <c r="BI41" s="48">
        <f>G41*AP41</f>
        <v>0</v>
      </c>
      <c r="BJ41" s="48">
        <f>G41*H41</f>
        <v>0</v>
      </c>
    </row>
    <row r="42" spans="1:62" x14ac:dyDescent="0.2">
      <c r="C42" s="135" t="s">
        <v>280</v>
      </c>
      <c r="D42" s="136"/>
      <c r="E42" s="136"/>
      <c r="G42" s="49">
        <v>5</v>
      </c>
    </row>
    <row r="43" spans="1:62" x14ac:dyDescent="0.2">
      <c r="A43" s="38" t="s">
        <v>96</v>
      </c>
      <c r="B43" s="38" t="s">
        <v>180</v>
      </c>
      <c r="C43" s="131" t="s">
        <v>293</v>
      </c>
      <c r="D43" s="132"/>
      <c r="E43" s="132"/>
      <c r="F43" s="38" t="s">
        <v>422</v>
      </c>
      <c r="G43" s="48">
        <v>3</v>
      </c>
      <c r="H43" s="148">
        <v>0</v>
      </c>
      <c r="I43" s="148">
        <f>G43*AO43</f>
        <v>0</v>
      </c>
      <c r="J43" s="148">
        <f>G43*AP43</f>
        <v>0</v>
      </c>
      <c r="K43" s="48">
        <f>G43*H43</f>
        <v>0</v>
      </c>
      <c r="L43" s="58" t="s">
        <v>434</v>
      </c>
      <c r="Z43" s="30">
        <f>IF(AQ43="5",BJ43,0)</f>
        <v>0</v>
      </c>
      <c r="AB43" s="30">
        <f>IF(AQ43="1",BH43,0)</f>
        <v>0</v>
      </c>
      <c r="AC43" s="30">
        <f>IF(AQ43="1",BI43,0)</f>
        <v>0</v>
      </c>
      <c r="AD43" s="30">
        <f>IF(AQ43="7",BH43,0)</f>
        <v>0</v>
      </c>
      <c r="AE43" s="30">
        <f>IF(AQ43="7",BI43,0)</f>
        <v>0</v>
      </c>
      <c r="AF43" s="30">
        <f>IF(AQ43="2",BH43,0)</f>
        <v>0</v>
      </c>
      <c r="AG43" s="30">
        <f>IF(AQ43="2",BI43,0)</f>
        <v>0</v>
      </c>
      <c r="AH43" s="30">
        <f>IF(AQ43="0",BJ43,0)</f>
        <v>0</v>
      </c>
      <c r="AI43" s="57" t="s">
        <v>60</v>
      </c>
      <c r="AJ43" s="48">
        <f>IF(AN43=0,K43,0)</f>
        <v>0</v>
      </c>
      <c r="AK43" s="48">
        <f>IF(AN43=15,K43,0)</f>
        <v>0</v>
      </c>
      <c r="AL43" s="48">
        <f>IF(AN43=21,K43,0)</f>
        <v>0</v>
      </c>
      <c r="AN43" s="30">
        <v>21</v>
      </c>
      <c r="AO43" s="30">
        <f>H43*0.303161057692308</f>
        <v>0</v>
      </c>
      <c r="AP43" s="30">
        <f>H43*(1-0.303161057692308)</f>
        <v>0</v>
      </c>
      <c r="AQ43" s="58" t="s">
        <v>92</v>
      </c>
      <c r="AV43" s="30">
        <f>AW43+AX43</f>
        <v>0</v>
      </c>
      <c r="AW43" s="30">
        <f>G43*AO43</f>
        <v>0</v>
      </c>
      <c r="AX43" s="30">
        <f>G43*AP43</f>
        <v>0</v>
      </c>
      <c r="AY43" s="61" t="s">
        <v>448</v>
      </c>
      <c r="AZ43" s="61" t="s">
        <v>466</v>
      </c>
      <c r="BA43" s="57" t="s">
        <v>475</v>
      </c>
      <c r="BC43" s="30">
        <f>AW43+AX43</f>
        <v>0</v>
      </c>
      <c r="BD43" s="30">
        <f>H43/(100-BE43)*100</f>
        <v>0</v>
      </c>
      <c r="BE43" s="30">
        <v>0</v>
      </c>
      <c r="BF43" s="30">
        <f>43</f>
        <v>43</v>
      </c>
      <c r="BH43" s="48">
        <f>G43*AO43</f>
        <v>0</v>
      </c>
      <c r="BI43" s="48">
        <f>G43*AP43</f>
        <v>0</v>
      </c>
      <c r="BJ43" s="48">
        <f>G43*H43</f>
        <v>0</v>
      </c>
    </row>
    <row r="44" spans="1:62" x14ac:dyDescent="0.2">
      <c r="C44" s="135" t="s">
        <v>282</v>
      </c>
      <c r="D44" s="136"/>
      <c r="E44" s="136"/>
      <c r="G44" s="49">
        <v>3</v>
      </c>
    </row>
    <row r="45" spans="1:62" x14ac:dyDescent="0.2">
      <c r="A45" s="38" t="s">
        <v>97</v>
      </c>
      <c r="B45" s="38" t="s">
        <v>181</v>
      </c>
      <c r="C45" s="131" t="s">
        <v>294</v>
      </c>
      <c r="D45" s="132"/>
      <c r="E45" s="132"/>
      <c r="F45" s="38" t="s">
        <v>422</v>
      </c>
      <c r="G45" s="48">
        <v>8</v>
      </c>
      <c r="H45" s="148">
        <v>0</v>
      </c>
      <c r="I45" s="148">
        <f>G45*AO45</f>
        <v>0</v>
      </c>
      <c r="J45" s="148">
        <f>G45*AP45</f>
        <v>0</v>
      </c>
      <c r="K45" s="48">
        <f>G45*H45</f>
        <v>0</v>
      </c>
      <c r="L45" s="58" t="s">
        <v>434</v>
      </c>
      <c r="Z45" s="30">
        <f>IF(AQ45="5",BJ45,0)</f>
        <v>0</v>
      </c>
      <c r="AB45" s="30">
        <f>IF(AQ45="1",BH45,0)</f>
        <v>0</v>
      </c>
      <c r="AC45" s="30">
        <f>IF(AQ45="1",BI45,0)</f>
        <v>0</v>
      </c>
      <c r="AD45" s="30">
        <f>IF(AQ45="7",BH45,0)</f>
        <v>0</v>
      </c>
      <c r="AE45" s="30">
        <f>IF(AQ45="7",BI45,0)</f>
        <v>0</v>
      </c>
      <c r="AF45" s="30">
        <f>IF(AQ45="2",BH45,0)</f>
        <v>0</v>
      </c>
      <c r="AG45" s="30">
        <f>IF(AQ45="2",BI45,0)</f>
        <v>0</v>
      </c>
      <c r="AH45" s="30">
        <f>IF(AQ45="0",BJ45,0)</f>
        <v>0</v>
      </c>
      <c r="AI45" s="57" t="s">
        <v>60</v>
      </c>
      <c r="AJ45" s="48">
        <f>IF(AN45=0,K45,0)</f>
        <v>0</v>
      </c>
      <c r="AK45" s="48">
        <f>IF(AN45=15,K45,0)</f>
        <v>0</v>
      </c>
      <c r="AL45" s="48">
        <f>IF(AN45=21,K45,0)</f>
        <v>0</v>
      </c>
      <c r="AN45" s="30">
        <v>21</v>
      </c>
      <c r="AO45" s="30">
        <f>H45*0.343441558441558</f>
        <v>0</v>
      </c>
      <c r="AP45" s="30">
        <f>H45*(1-0.343441558441558)</f>
        <v>0</v>
      </c>
      <c r="AQ45" s="58" t="s">
        <v>92</v>
      </c>
      <c r="AV45" s="30">
        <f>AW45+AX45</f>
        <v>0</v>
      </c>
      <c r="AW45" s="30">
        <f>G45*AO45</f>
        <v>0</v>
      </c>
      <c r="AX45" s="30">
        <f>G45*AP45</f>
        <v>0</v>
      </c>
      <c r="AY45" s="61" t="s">
        <v>448</v>
      </c>
      <c r="AZ45" s="61" t="s">
        <v>466</v>
      </c>
      <c r="BA45" s="57" t="s">
        <v>475</v>
      </c>
      <c r="BC45" s="30">
        <f>AW45+AX45</f>
        <v>0</v>
      </c>
      <c r="BD45" s="30">
        <f>H45/(100-BE45)*100</f>
        <v>0</v>
      </c>
      <c r="BE45" s="30">
        <v>0</v>
      </c>
      <c r="BF45" s="30">
        <f>45</f>
        <v>45</v>
      </c>
      <c r="BH45" s="48">
        <f>G45*AO45</f>
        <v>0</v>
      </c>
      <c r="BI45" s="48">
        <f>G45*AP45</f>
        <v>0</v>
      </c>
      <c r="BJ45" s="48">
        <f>G45*H45</f>
        <v>0</v>
      </c>
    </row>
    <row r="46" spans="1:62" x14ac:dyDescent="0.2">
      <c r="C46" s="135" t="s">
        <v>295</v>
      </c>
      <c r="D46" s="136"/>
      <c r="E46" s="136"/>
      <c r="G46" s="49">
        <v>8</v>
      </c>
    </row>
    <row r="47" spans="1:62" x14ac:dyDescent="0.2">
      <c r="A47" s="38" t="s">
        <v>98</v>
      </c>
      <c r="B47" s="38" t="s">
        <v>182</v>
      </c>
      <c r="C47" s="131" t="s">
        <v>296</v>
      </c>
      <c r="D47" s="132"/>
      <c r="E47" s="132"/>
      <c r="F47" s="38" t="s">
        <v>421</v>
      </c>
      <c r="G47" s="48">
        <v>5</v>
      </c>
      <c r="H47" s="148">
        <v>0</v>
      </c>
      <c r="I47" s="148">
        <f>G47*AO47</f>
        <v>0</v>
      </c>
      <c r="J47" s="148">
        <f>G47*AP47</f>
        <v>0</v>
      </c>
      <c r="K47" s="48">
        <f>G47*H47</f>
        <v>0</v>
      </c>
      <c r="L47" s="58" t="s">
        <v>434</v>
      </c>
      <c r="Z47" s="30">
        <f>IF(AQ47="5",BJ47,0)</f>
        <v>0</v>
      </c>
      <c r="AB47" s="30">
        <f>IF(AQ47="1",BH47,0)</f>
        <v>0</v>
      </c>
      <c r="AC47" s="30">
        <f>IF(AQ47="1",BI47,0)</f>
        <v>0</v>
      </c>
      <c r="AD47" s="30">
        <f>IF(AQ47="7",BH47,0)</f>
        <v>0</v>
      </c>
      <c r="AE47" s="30">
        <f>IF(AQ47="7",BI47,0)</f>
        <v>0</v>
      </c>
      <c r="AF47" s="30">
        <f>IF(AQ47="2",BH47,0)</f>
        <v>0</v>
      </c>
      <c r="AG47" s="30">
        <f>IF(AQ47="2",BI47,0)</f>
        <v>0</v>
      </c>
      <c r="AH47" s="30">
        <f>IF(AQ47="0",BJ47,0)</f>
        <v>0</v>
      </c>
      <c r="AI47" s="57" t="s">
        <v>60</v>
      </c>
      <c r="AJ47" s="48">
        <f>IF(AN47=0,K47,0)</f>
        <v>0</v>
      </c>
      <c r="AK47" s="48">
        <f>IF(AN47=15,K47,0)</f>
        <v>0</v>
      </c>
      <c r="AL47" s="48">
        <f>IF(AN47=21,K47,0)</f>
        <v>0</v>
      </c>
      <c r="AN47" s="30">
        <v>21</v>
      </c>
      <c r="AO47" s="30">
        <f>H47*0</f>
        <v>0</v>
      </c>
      <c r="AP47" s="30">
        <f>H47*(1-0)</f>
        <v>0</v>
      </c>
      <c r="AQ47" s="58" t="s">
        <v>92</v>
      </c>
      <c r="AV47" s="30">
        <f>AW47+AX47</f>
        <v>0</v>
      </c>
      <c r="AW47" s="30">
        <f>G47*AO47</f>
        <v>0</v>
      </c>
      <c r="AX47" s="30">
        <f>G47*AP47</f>
        <v>0</v>
      </c>
      <c r="AY47" s="61" t="s">
        <v>448</v>
      </c>
      <c r="AZ47" s="61" t="s">
        <v>466</v>
      </c>
      <c r="BA47" s="57" t="s">
        <v>475</v>
      </c>
      <c r="BC47" s="30">
        <f>AW47+AX47</f>
        <v>0</v>
      </c>
      <c r="BD47" s="30">
        <f>H47/(100-BE47)*100</f>
        <v>0</v>
      </c>
      <c r="BE47" s="30">
        <v>0</v>
      </c>
      <c r="BF47" s="30">
        <f>47</f>
        <v>47</v>
      </c>
      <c r="BH47" s="48">
        <f>G47*AO47</f>
        <v>0</v>
      </c>
      <c r="BI47" s="48">
        <f>G47*AP47</f>
        <v>0</v>
      </c>
      <c r="BJ47" s="48">
        <f>G47*H47</f>
        <v>0</v>
      </c>
    </row>
    <row r="48" spans="1:62" x14ac:dyDescent="0.2">
      <c r="C48" s="135" t="s">
        <v>280</v>
      </c>
      <c r="D48" s="136"/>
      <c r="E48" s="136"/>
      <c r="G48" s="49">
        <v>5</v>
      </c>
    </row>
    <row r="49" spans="1:62" x14ac:dyDescent="0.2">
      <c r="A49" s="38" t="s">
        <v>99</v>
      </c>
      <c r="B49" s="38" t="s">
        <v>183</v>
      </c>
      <c r="C49" s="131" t="s">
        <v>297</v>
      </c>
      <c r="D49" s="132"/>
      <c r="E49" s="132"/>
      <c r="F49" s="38" t="s">
        <v>421</v>
      </c>
      <c r="G49" s="48">
        <v>3</v>
      </c>
      <c r="H49" s="148">
        <v>0</v>
      </c>
      <c r="I49" s="148">
        <f>G49*AO49</f>
        <v>0</v>
      </c>
      <c r="J49" s="148">
        <f>G49*AP49</f>
        <v>0</v>
      </c>
      <c r="K49" s="48">
        <f>G49*H49</f>
        <v>0</v>
      </c>
      <c r="L49" s="58" t="s">
        <v>434</v>
      </c>
      <c r="Z49" s="30">
        <f>IF(AQ49="5",BJ49,0)</f>
        <v>0</v>
      </c>
      <c r="AB49" s="30">
        <f>IF(AQ49="1",BH49,0)</f>
        <v>0</v>
      </c>
      <c r="AC49" s="30">
        <f>IF(AQ49="1",BI49,0)</f>
        <v>0</v>
      </c>
      <c r="AD49" s="30">
        <f>IF(AQ49="7",BH49,0)</f>
        <v>0</v>
      </c>
      <c r="AE49" s="30">
        <f>IF(AQ49="7",BI49,0)</f>
        <v>0</v>
      </c>
      <c r="AF49" s="30">
        <f>IF(AQ49="2",BH49,0)</f>
        <v>0</v>
      </c>
      <c r="AG49" s="30">
        <f>IF(AQ49="2",BI49,0)</f>
        <v>0</v>
      </c>
      <c r="AH49" s="30">
        <f>IF(AQ49="0",BJ49,0)</f>
        <v>0</v>
      </c>
      <c r="AI49" s="57" t="s">
        <v>60</v>
      </c>
      <c r="AJ49" s="48">
        <f>IF(AN49=0,K49,0)</f>
        <v>0</v>
      </c>
      <c r="AK49" s="48">
        <f>IF(AN49=15,K49,0)</f>
        <v>0</v>
      </c>
      <c r="AL49" s="48">
        <f>IF(AN49=21,K49,0)</f>
        <v>0</v>
      </c>
      <c r="AN49" s="30">
        <v>21</v>
      </c>
      <c r="AO49" s="30">
        <f>H49*0</f>
        <v>0</v>
      </c>
      <c r="AP49" s="30">
        <f>H49*(1-0)</f>
        <v>0</v>
      </c>
      <c r="AQ49" s="58" t="s">
        <v>92</v>
      </c>
      <c r="AV49" s="30">
        <f>AW49+AX49</f>
        <v>0</v>
      </c>
      <c r="AW49" s="30">
        <f>G49*AO49</f>
        <v>0</v>
      </c>
      <c r="AX49" s="30">
        <f>G49*AP49</f>
        <v>0</v>
      </c>
      <c r="AY49" s="61" t="s">
        <v>448</v>
      </c>
      <c r="AZ49" s="61" t="s">
        <v>466</v>
      </c>
      <c r="BA49" s="57" t="s">
        <v>475</v>
      </c>
      <c r="BC49" s="30">
        <f>AW49+AX49</f>
        <v>0</v>
      </c>
      <c r="BD49" s="30">
        <f>H49/(100-BE49)*100</f>
        <v>0</v>
      </c>
      <c r="BE49" s="30">
        <v>0</v>
      </c>
      <c r="BF49" s="30">
        <f>49</f>
        <v>49</v>
      </c>
      <c r="BH49" s="48">
        <f>G49*AO49</f>
        <v>0</v>
      </c>
      <c r="BI49" s="48">
        <f>G49*AP49</f>
        <v>0</v>
      </c>
      <c r="BJ49" s="48">
        <f>G49*H49</f>
        <v>0</v>
      </c>
    </row>
    <row r="50" spans="1:62" x14ac:dyDescent="0.2">
      <c r="C50" s="135" t="s">
        <v>282</v>
      </c>
      <c r="D50" s="136"/>
      <c r="E50" s="136"/>
      <c r="G50" s="49">
        <v>3</v>
      </c>
    </row>
    <row r="51" spans="1:62" x14ac:dyDescent="0.2">
      <c r="A51" s="38" t="s">
        <v>100</v>
      </c>
      <c r="B51" s="38" t="s">
        <v>184</v>
      </c>
      <c r="C51" s="131" t="s">
        <v>298</v>
      </c>
      <c r="D51" s="132"/>
      <c r="E51" s="132"/>
      <c r="F51" s="38" t="s">
        <v>422</v>
      </c>
      <c r="G51" s="48">
        <v>22</v>
      </c>
      <c r="H51" s="148">
        <v>0</v>
      </c>
      <c r="I51" s="148">
        <f>G51*AO51</f>
        <v>0</v>
      </c>
      <c r="J51" s="148">
        <f>G51*AP51</f>
        <v>0</v>
      </c>
      <c r="K51" s="48">
        <f>G51*H51</f>
        <v>0</v>
      </c>
      <c r="L51" s="58" t="s">
        <v>434</v>
      </c>
      <c r="Z51" s="30">
        <f>IF(AQ51="5",BJ51,0)</f>
        <v>0</v>
      </c>
      <c r="AB51" s="30">
        <f>IF(AQ51="1",BH51,0)</f>
        <v>0</v>
      </c>
      <c r="AC51" s="30">
        <f>IF(AQ51="1",BI51,0)</f>
        <v>0</v>
      </c>
      <c r="AD51" s="30">
        <f>IF(AQ51="7",BH51,0)</f>
        <v>0</v>
      </c>
      <c r="AE51" s="30">
        <f>IF(AQ51="7",BI51,0)</f>
        <v>0</v>
      </c>
      <c r="AF51" s="30">
        <f>IF(AQ51="2",BH51,0)</f>
        <v>0</v>
      </c>
      <c r="AG51" s="30">
        <f>IF(AQ51="2",BI51,0)</f>
        <v>0</v>
      </c>
      <c r="AH51" s="30">
        <f>IF(AQ51="0",BJ51,0)</f>
        <v>0</v>
      </c>
      <c r="AI51" s="57" t="s">
        <v>60</v>
      </c>
      <c r="AJ51" s="48">
        <f>IF(AN51=0,K51,0)</f>
        <v>0</v>
      </c>
      <c r="AK51" s="48">
        <f>IF(AN51=15,K51,0)</f>
        <v>0</v>
      </c>
      <c r="AL51" s="48">
        <f>IF(AN51=21,K51,0)</f>
        <v>0</v>
      </c>
      <c r="AN51" s="30">
        <v>21</v>
      </c>
      <c r="AO51" s="30">
        <f>H51*0.0254003724394786</f>
        <v>0</v>
      </c>
      <c r="AP51" s="30">
        <f>H51*(1-0.0254003724394786)</f>
        <v>0</v>
      </c>
      <c r="AQ51" s="58" t="s">
        <v>92</v>
      </c>
      <c r="AV51" s="30">
        <f>AW51+AX51</f>
        <v>0</v>
      </c>
      <c r="AW51" s="30">
        <f>G51*AO51</f>
        <v>0</v>
      </c>
      <c r="AX51" s="30">
        <f>G51*AP51</f>
        <v>0</v>
      </c>
      <c r="AY51" s="61" t="s">
        <v>448</v>
      </c>
      <c r="AZ51" s="61" t="s">
        <v>466</v>
      </c>
      <c r="BA51" s="57" t="s">
        <v>475</v>
      </c>
      <c r="BC51" s="30">
        <f>AW51+AX51</f>
        <v>0</v>
      </c>
      <c r="BD51" s="30">
        <f>H51/(100-BE51)*100</f>
        <v>0</v>
      </c>
      <c r="BE51" s="30">
        <v>0</v>
      </c>
      <c r="BF51" s="30">
        <f>51</f>
        <v>51</v>
      </c>
      <c r="BH51" s="48">
        <f>G51*AO51</f>
        <v>0</v>
      </c>
      <c r="BI51" s="48">
        <f>G51*AP51</f>
        <v>0</v>
      </c>
      <c r="BJ51" s="48">
        <f>G51*H51</f>
        <v>0</v>
      </c>
    </row>
    <row r="52" spans="1:62" x14ac:dyDescent="0.2">
      <c r="C52" s="135" t="s">
        <v>299</v>
      </c>
      <c r="D52" s="136"/>
      <c r="E52" s="136"/>
      <c r="G52" s="49">
        <v>22</v>
      </c>
    </row>
    <row r="53" spans="1:62" x14ac:dyDescent="0.2">
      <c r="A53" s="38" t="s">
        <v>101</v>
      </c>
      <c r="B53" s="38" t="s">
        <v>185</v>
      </c>
      <c r="C53" s="131" t="s">
        <v>300</v>
      </c>
      <c r="D53" s="132"/>
      <c r="E53" s="132"/>
      <c r="F53" s="38" t="s">
        <v>423</v>
      </c>
      <c r="G53" s="48">
        <v>0.05</v>
      </c>
      <c r="H53" s="148">
        <v>0</v>
      </c>
      <c r="I53" s="148">
        <f>G53*AO53</f>
        <v>0</v>
      </c>
      <c r="J53" s="148">
        <f>G53*AP53</f>
        <v>0</v>
      </c>
      <c r="K53" s="48">
        <f>G53*H53</f>
        <v>0</v>
      </c>
      <c r="L53" s="58" t="s">
        <v>434</v>
      </c>
      <c r="Z53" s="30">
        <f>IF(AQ53="5",BJ53,0)</f>
        <v>0</v>
      </c>
      <c r="AB53" s="30">
        <f>IF(AQ53="1",BH53,0)</f>
        <v>0</v>
      </c>
      <c r="AC53" s="30">
        <f>IF(AQ53="1",BI53,0)</f>
        <v>0</v>
      </c>
      <c r="AD53" s="30">
        <f>IF(AQ53="7",BH53,0)</f>
        <v>0</v>
      </c>
      <c r="AE53" s="30">
        <f>IF(AQ53="7",BI53,0)</f>
        <v>0</v>
      </c>
      <c r="AF53" s="30">
        <f>IF(AQ53="2",BH53,0)</f>
        <v>0</v>
      </c>
      <c r="AG53" s="30">
        <f>IF(AQ53="2",BI53,0)</f>
        <v>0</v>
      </c>
      <c r="AH53" s="30">
        <f>IF(AQ53="0",BJ53,0)</f>
        <v>0</v>
      </c>
      <c r="AI53" s="57" t="s">
        <v>60</v>
      </c>
      <c r="AJ53" s="48">
        <f>IF(AN53=0,K53,0)</f>
        <v>0</v>
      </c>
      <c r="AK53" s="48">
        <f>IF(AN53=15,K53,0)</f>
        <v>0</v>
      </c>
      <c r="AL53" s="48">
        <f>IF(AN53=21,K53,0)</f>
        <v>0</v>
      </c>
      <c r="AN53" s="30">
        <v>21</v>
      </c>
      <c r="AO53" s="30">
        <f>H53*0</f>
        <v>0</v>
      </c>
      <c r="AP53" s="30">
        <f>H53*(1-0)</f>
        <v>0</v>
      </c>
      <c r="AQ53" s="58" t="s">
        <v>92</v>
      </c>
      <c r="AV53" s="30">
        <f>AW53+AX53</f>
        <v>0</v>
      </c>
      <c r="AW53" s="30">
        <f>G53*AO53</f>
        <v>0</v>
      </c>
      <c r="AX53" s="30">
        <f>G53*AP53</f>
        <v>0</v>
      </c>
      <c r="AY53" s="61" t="s">
        <v>448</v>
      </c>
      <c r="AZ53" s="61" t="s">
        <v>466</v>
      </c>
      <c r="BA53" s="57" t="s">
        <v>475</v>
      </c>
      <c r="BC53" s="30">
        <f>AW53+AX53</f>
        <v>0</v>
      </c>
      <c r="BD53" s="30">
        <f>H53/(100-BE53)*100</f>
        <v>0</v>
      </c>
      <c r="BE53" s="30">
        <v>0</v>
      </c>
      <c r="BF53" s="30">
        <f>53</f>
        <v>53</v>
      </c>
      <c r="BH53" s="48">
        <f>G53*AO53</f>
        <v>0</v>
      </c>
      <c r="BI53" s="48">
        <f>G53*AP53</f>
        <v>0</v>
      </c>
      <c r="BJ53" s="48">
        <f>G53*H53</f>
        <v>0</v>
      </c>
    </row>
    <row r="54" spans="1:62" x14ac:dyDescent="0.2">
      <c r="C54" s="135" t="s">
        <v>301</v>
      </c>
      <c r="D54" s="136"/>
      <c r="E54" s="136"/>
      <c r="G54" s="49">
        <v>0.05</v>
      </c>
    </row>
    <row r="55" spans="1:62" x14ac:dyDescent="0.2">
      <c r="B55" s="45" t="s">
        <v>168</v>
      </c>
      <c r="C55" s="137" t="s">
        <v>302</v>
      </c>
      <c r="D55" s="138"/>
      <c r="E55" s="138"/>
      <c r="F55" s="138"/>
      <c r="G55" s="138"/>
      <c r="H55" s="138"/>
      <c r="I55" s="138"/>
      <c r="J55" s="138"/>
      <c r="K55" s="138"/>
      <c r="L55" s="138"/>
    </row>
    <row r="56" spans="1:62" x14ac:dyDescent="0.2">
      <c r="A56" s="38" t="s">
        <v>102</v>
      </c>
      <c r="B56" s="38" t="s">
        <v>186</v>
      </c>
      <c r="C56" s="131" t="s">
        <v>303</v>
      </c>
      <c r="D56" s="132"/>
      <c r="E56" s="132"/>
      <c r="F56" s="38" t="s">
        <v>421</v>
      </c>
      <c r="G56" s="48">
        <v>4</v>
      </c>
      <c r="H56" s="148">
        <v>0</v>
      </c>
      <c r="I56" s="148">
        <f>G56*AO56</f>
        <v>0</v>
      </c>
      <c r="J56" s="148">
        <f>G56*AP56</f>
        <v>0</v>
      </c>
      <c r="K56" s="48">
        <f>G56*H56</f>
        <v>0</v>
      </c>
      <c r="L56" s="58" t="s">
        <v>434</v>
      </c>
      <c r="Z56" s="30">
        <f>IF(AQ56="5",BJ56,0)</f>
        <v>0</v>
      </c>
      <c r="AB56" s="30">
        <f>IF(AQ56="1",BH56,0)</f>
        <v>0</v>
      </c>
      <c r="AC56" s="30">
        <f>IF(AQ56="1",BI56,0)</f>
        <v>0</v>
      </c>
      <c r="AD56" s="30">
        <f>IF(AQ56="7",BH56,0)</f>
        <v>0</v>
      </c>
      <c r="AE56" s="30">
        <f>IF(AQ56="7",BI56,0)</f>
        <v>0</v>
      </c>
      <c r="AF56" s="30">
        <f>IF(AQ56="2",BH56,0)</f>
        <v>0</v>
      </c>
      <c r="AG56" s="30">
        <f>IF(AQ56="2",BI56,0)</f>
        <v>0</v>
      </c>
      <c r="AH56" s="30">
        <f>IF(AQ56="0",BJ56,0)</f>
        <v>0</v>
      </c>
      <c r="AI56" s="57" t="s">
        <v>60</v>
      </c>
      <c r="AJ56" s="48">
        <f>IF(AN56=0,K56,0)</f>
        <v>0</v>
      </c>
      <c r="AK56" s="48">
        <f>IF(AN56=15,K56,0)</f>
        <v>0</v>
      </c>
      <c r="AL56" s="48">
        <f>IF(AN56=21,K56,0)</f>
        <v>0</v>
      </c>
      <c r="AN56" s="30">
        <v>21</v>
      </c>
      <c r="AO56" s="30">
        <f>H56*0</f>
        <v>0</v>
      </c>
      <c r="AP56" s="30">
        <f>H56*(1-0)</f>
        <v>0</v>
      </c>
      <c r="AQ56" s="58" t="s">
        <v>92</v>
      </c>
      <c r="AV56" s="30">
        <f>AW56+AX56</f>
        <v>0</v>
      </c>
      <c r="AW56" s="30">
        <f>G56*AO56</f>
        <v>0</v>
      </c>
      <c r="AX56" s="30">
        <f>G56*AP56</f>
        <v>0</v>
      </c>
      <c r="AY56" s="61" t="s">
        <v>448</v>
      </c>
      <c r="AZ56" s="61" t="s">
        <v>466</v>
      </c>
      <c r="BA56" s="57" t="s">
        <v>475</v>
      </c>
      <c r="BC56" s="30">
        <f>AW56+AX56</f>
        <v>0</v>
      </c>
      <c r="BD56" s="30">
        <f>H56/(100-BE56)*100</f>
        <v>0</v>
      </c>
      <c r="BE56" s="30">
        <v>0</v>
      </c>
      <c r="BF56" s="30">
        <f>56</f>
        <v>56</v>
      </c>
      <c r="BH56" s="48">
        <f>G56*AO56</f>
        <v>0</v>
      </c>
      <c r="BI56" s="48">
        <f>G56*AP56</f>
        <v>0</v>
      </c>
      <c r="BJ56" s="48">
        <f>G56*H56</f>
        <v>0</v>
      </c>
    </row>
    <row r="57" spans="1:62" x14ac:dyDescent="0.2">
      <c r="C57" s="135" t="s">
        <v>284</v>
      </c>
      <c r="D57" s="136"/>
      <c r="E57" s="136"/>
      <c r="G57" s="49">
        <v>4</v>
      </c>
    </row>
    <row r="58" spans="1:62" x14ac:dyDescent="0.2">
      <c r="A58" s="38" t="s">
        <v>103</v>
      </c>
      <c r="B58" s="38" t="s">
        <v>187</v>
      </c>
      <c r="C58" s="131" t="s">
        <v>304</v>
      </c>
      <c r="D58" s="132"/>
      <c r="E58" s="132"/>
      <c r="F58" s="38" t="s">
        <v>422</v>
      </c>
      <c r="G58" s="48">
        <v>9</v>
      </c>
      <c r="H58" s="148">
        <v>0</v>
      </c>
      <c r="I58" s="148">
        <f>G58*AO58</f>
        <v>0</v>
      </c>
      <c r="J58" s="148">
        <f>G58*AP58</f>
        <v>0</v>
      </c>
      <c r="K58" s="48">
        <f>G58*H58</f>
        <v>0</v>
      </c>
      <c r="L58" s="58" t="s">
        <v>434</v>
      </c>
      <c r="Z58" s="30">
        <f>IF(AQ58="5",BJ58,0)</f>
        <v>0</v>
      </c>
      <c r="AB58" s="30">
        <f>IF(AQ58="1",BH58,0)</f>
        <v>0</v>
      </c>
      <c r="AC58" s="30">
        <f>IF(AQ58="1",BI58,0)</f>
        <v>0</v>
      </c>
      <c r="AD58" s="30">
        <f>IF(AQ58="7",BH58,0)</f>
        <v>0</v>
      </c>
      <c r="AE58" s="30">
        <f>IF(AQ58="7",BI58,0)</f>
        <v>0</v>
      </c>
      <c r="AF58" s="30">
        <f>IF(AQ58="2",BH58,0)</f>
        <v>0</v>
      </c>
      <c r="AG58" s="30">
        <f>IF(AQ58="2",BI58,0)</f>
        <v>0</v>
      </c>
      <c r="AH58" s="30">
        <f>IF(AQ58="0",BJ58,0)</f>
        <v>0</v>
      </c>
      <c r="AI58" s="57" t="s">
        <v>60</v>
      </c>
      <c r="AJ58" s="48">
        <f>IF(AN58=0,K58,0)</f>
        <v>0</v>
      </c>
      <c r="AK58" s="48">
        <f>IF(AN58=15,K58,0)</f>
        <v>0</v>
      </c>
      <c r="AL58" s="48">
        <f>IF(AN58=21,K58,0)</f>
        <v>0</v>
      </c>
      <c r="AN58" s="30">
        <v>21</v>
      </c>
      <c r="AO58" s="30">
        <f>H58*0</f>
        <v>0</v>
      </c>
      <c r="AP58" s="30">
        <f>H58*(1-0)</f>
        <v>0</v>
      </c>
      <c r="AQ58" s="58" t="s">
        <v>92</v>
      </c>
      <c r="AV58" s="30">
        <f>AW58+AX58</f>
        <v>0</v>
      </c>
      <c r="AW58" s="30">
        <f>G58*AO58</f>
        <v>0</v>
      </c>
      <c r="AX58" s="30">
        <f>G58*AP58</f>
        <v>0</v>
      </c>
      <c r="AY58" s="61" t="s">
        <v>448</v>
      </c>
      <c r="AZ58" s="61" t="s">
        <v>466</v>
      </c>
      <c r="BA58" s="57" t="s">
        <v>475</v>
      </c>
      <c r="BC58" s="30">
        <f>AW58+AX58</f>
        <v>0</v>
      </c>
      <c r="BD58" s="30">
        <f>H58/(100-BE58)*100</f>
        <v>0</v>
      </c>
      <c r="BE58" s="30">
        <v>0</v>
      </c>
      <c r="BF58" s="30">
        <f>58</f>
        <v>58</v>
      </c>
      <c r="BH58" s="48">
        <f>G58*AO58</f>
        <v>0</v>
      </c>
      <c r="BI58" s="48">
        <f>G58*AP58</f>
        <v>0</v>
      </c>
      <c r="BJ58" s="48">
        <f>G58*H58</f>
        <v>0</v>
      </c>
    </row>
    <row r="59" spans="1:62" x14ac:dyDescent="0.2">
      <c r="C59" s="135" t="s">
        <v>305</v>
      </c>
      <c r="D59" s="136"/>
      <c r="E59" s="136"/>
      <c r="G59" s="49">
        <v>9</v>
      </c>
    </row>
    <row r="60" spans="1:62" x14ac:dyDescent="0.2">
      <c r="A60" s="37"/>
      <c r="B60" s="44" t="s">
        <v>188</v>
      </c>
      <c r="C60" s="129" t="s">
        <v>306</v>
      </c>
      <c r="D60" s="130"/>
      <c r="E60" s="130"/>
      <c r="F60" s="37" t="s">
        <v>58</v>
      </c>
      <c r="G60" s="37" t="s">
        <v>58</v>
      </c>
      <c r="H60" s="37" t="s">
        <v>58</v>
      </c>
      <c r="I60" s="63">
        <f>SUM(I61:I108)</f>
        <v>0</v>
      </c>
      <c r="J60" s="63">
        <f>SUM(J61:J108)</f>
        <v>0</v>
      </c>
      <c r="K60" s="63">
        <f>SUM(K61:K108)</f>
        <v>0</v>
      </c>
      <c r="L60" s="57"/>
      <c r="AI60" s="57" t="s">
        <v>60</v>
      </c>
      <c r="AS60" s="63">
        <f>SUM(AJ61:AJ108)</f>
        <v>0</v>
      </c>
      <c r="AT60" s="63">
        <f>SUM(AK61:AK108)</f>
        <v>0</v>
      </c>
      <c r="AU60" s="63">
        <f>SUM(AL61:AL108)</f>
        <v>0</v>
      </c>
    </row>
    <row r="61" spans="1:62" x14ac:dyDescent="0.2">
      <c r="A61" s="38" t="s">
        <v>104</v>
      </c>
      <c r="B61" s="38" t="s">
        <v>189</v>
      </c>
      <c r="C61" s="131" t="s">
        <v>307</v>
      </c>
      <c r="D61" s="132"/>
      <c r="E61" s="132"/>
      <c r="F61" s="38" t="s">
        <v>422</v>
      </c>
      <c r="G61" s="48">
        <v>3</v>
      </c>
      <c r="H61" s="148">
        <v>0</v>
      </c>
      <c r="I61" s="148">
        <f>G61*AO61</f>
        <v>0</v>
      </c>
      <c r="J61" s="148">
        <f>G61*AP61</f>
        <v>0</v>
      </c>
      <c r="K61" s="48">
        <f>G61*H61</f>
        <v>0</v>
      </c>
      <c r="L61" s="58" t="s">
        <v>434</v>
      </c>
      <c r="Z61" s="30">
        <f>IF(AQ61="5",BJ61,0)</f>
        <v>0</v>
      </c>
      <c r="AB61" s="30">
        <f>IF(AQ61="1",BH61,0)</f>
        <v>0</v>
      </c>
      <c r="AC61" s="30">
        <f>IF(AQ61="1",BI61,0)</f>
        <v>0</v>
      </c>
      <c r="AD61" s="30">
        <f>IF(AQ61="7",BH61,0)</f>
        <v>0</v>
      </c>
      <c r="AE61" s="30">
        <f>IF(AQ61="7",BI61,0)</f>
        <v>0</v>
      </c>
      <c r="AF61" s="30">
        <f>IF(AQ61="2",BH61,0)</f>
        <v>0</v>
      </c>
      <c r="AG61" s="30">
        <f>IF(AQ61="2",BI61,0)</f>
        <v>0</v>
      </c>
      <c r="AH61" s="30">
        <f>IF(AQ61="0",BJ61,0)</f>
        <v>0</v>
      </c>
      <c r="AI61" s="57" t="s">
        <v>60</v>
      </c>
      <c r="AJ61" s="48">
        <f>IF(AN61=0,K61,0)</f>
        <v>0</v>
      </c>
      <c r="AK61" s="48">
        <f>IF(AN61=15,K61,0)</f>
        <v>0</v>
      </c>
      <c r="AL61" s="48">
        <f>IF(AN61=21,K61,0)</f>
        <v>0</v>
      </c>
      <c r="AN61" s="30">
        <v>21</v>
      </c>
      <c r="AO61" s="30">
        <f>H61*0</f>
        <v>0</v>
      </c>
      <c r="AP61" s="30">
        <f>H61*(1-0)</f>
        <v>0</v>
      </c>
      <c r="AQ61" s="58" t="s">
        <v>92</v>
      </c>
      <c r="AV61" s="30">
        <f>AW61+AX61</f>
        <v>0</v>
      </c>
      <c r="AW61" s="30">
        <f>G61*AO61</f>
        <v>0</v>
      </c>
      <c r="AX61" s="30">
        <f>G61*AP61</f>
        <v>0</v>
      </c>
      <c r="AY61" s="61" t="s">
        <v>449</v>
      </c>
      <c r="AZ61" s="61" t="s">
        <v>466</v>
      </c>
      <c r="BA61" s="57" t="s">
        <v>475</v>
      </c>
      <c r="BC61" s="30">
        <f>AW61+AX61</f>
        <v>0</v>
      </c>
      <c r="BD61" s="30">
        <f>H61/(100-BE61)*100</f>
        <v>0</v>
      </c>
      <c r="BE61" s="30">
        <v>0</v>
      </c>
      <c r="BF61" s="30">
        <f>61</f>
        <v>61</v>
      </c>
      <c r="BH61" s="48">
        <f>G61*AO61</f>
        <v>0</v>
      </c>
      <c r="BI61" s="48">
        <f>G61*AP61</f>
        <v>0</v>
      </c>
      <c r="BJ61" s="48">
        <f>G61*H61</f>
        <v>0</v>
      </c>
    </row>
    <row r="62" spans="1:62" x14ac:dyDescent="0.2">
      <c r="C62" s="135" t="s">
        <v>282</v>
      </c>
      <c r="D62" s="136"/>
      <c r="E62" s="136"/>
      <c r="G62" s="49">
        <v>3</v>
      </c>
    </row>
    <row r="63" spans="1:62" x14ac:dyDescent="0.2">
      <c r="A63" s="38" t="s">
        <v>105</v>
      </c>
      <c r="B63" s="38" t="s">
        <v>190</v>
      </c>
      <c r="C63" s="131" t="s">
        <v>308</v>
      </c>
      <c r="D63" s="132"/>
      <c r="E63" s="132"/>
      <c r="F63" s="38" t="s">
        <v>421</v>
      </c>
      <c r="G63" s="48">
        <v>1</v>
      </c>
      <c r="H63" s="148">
        <v>0</v>
      </c>
      <c r="I63" s="148">
        <f>G63*AO63</f>
        <v>0</v>
      </c>
      <c r="J63" s="148">
        <f>G63*AP63</f>
        <v>0</v>
      </c>
      <c r="K63" s="48">
        <f>G63*H63</f>
        <v>0</v>
      </c>
      <c r="L63" s="58" t="s">
        <v>434</v>
      </c>
      <c r="Z63" s="30">
        <f>IF(AQ63="5",BJ63,0)</f>
        <v>0</v>
      </c>
      <c r="AB63" s="30">
        <f>IF(AQ63="1",BH63,0)</f>
        <v>0</v>
      </c>
      <c r="AC63" s="30">
        <f>IF(AQ63="1",BI63,0)</f>
        <v>0</v>
      </c>
      <c r="AD63" s="30">
        <f>IF(AQ63="7",BH63,0)</f>
        <v>0</v>
      </c>
      <c r="AE63" s="30">
        <f>IF(AQ63="7",BI63,0)</f>
        <v>0</v>
      </c>
      <c r="AF63" s="30">
        <f>IF(AQ63="2",BH63,0)</f>
        <v>0</v>
      </c>
      <c r="AG63" s="30">
        <f>IF(AQ63="2",BI63,0)</f>
        <v>0</v>
      </c>
      <c r="AH63" s="30">
        <f>IF(AQ63="0",BJ63,0)</f>
        <v>0</v>
      </c>
      <c r="AI63" s="57" t="s">
        <v>60</v>
      </c>
      <c r="AJ63" s="48">
        <f>IF(AN63=0,K63,0)</f>
        <v>0</v>
      </c>
      <c r="AK63" s="48">
        <f>IF(AN63=15,K63,0)</f>
        <v>0</v>
      </c>
      <c r="AL63" s="48">
        <f>IF(AN63=21,K63,0)</f>
        <v>0</v>
      </c>
      <c r="AN63" s="30">
        <v>21</v>
      </c>
      <c r="AO63" s="30">
        <f>H63*0</f>
        <v>0</v>
      </c>
      <c r="AP63" s="30">
        <f>H63*(1-0)</f>
        <v>0</v>
      </c>
      <c r="AQ63" s="58" t="s">
        <v>92</v>
      </c>
      <c r="AV63" s="30">
        <f>AW63+AX63</f>
        <v>0</v>
      </c>
      <c r="AW63" s="30">
        <f>G63*AO63</f>
        <v>0</v>
      </c>
      <c r="AX63" s="30">
        <f>G63*AP63</f>
        <v>0</v>
      </c>
      <c r="AY63" s="61" t="s">
        <v>449</v>
      </c>
      <c r="AZ63" s="61" t="s">
        <v>466</v>
      </c>
      <c r="BA63" s="57" t="s">
        <v>475</v>
      </c>
      <c r="BC63" s="30">
        <f>AW63+AX63</f>
        <v>0</v>
      </c>
      <c r="BD63" s="30">
        <f>H63/(100-BE63)*100</f>
        <v>0</v>
      </c>
      <c r="BE63" s="30">
        <v>0</v>
      </c>
      <c r="BF63" s="30">
        <f>63</f>
        <v>63</v>
      </c>
      <c r="BH63" s="48">
        <f>G63*AO63</f>
        <v>0</v>
      </c>
      <c r="BI63" s="48">
        <f>G63*AP63</f>
        <v>0</v>
      </c>
      <c r="BJ63" s="48">
        <f>G63*H63</f>
        <v>0</v>
      </c>
    </row>
    <row r="64" spans="1:62" x14ac:dyDescent="0.2">
      <c r="C64" s="135" t="s">
        <v>309</v>
      </c>
      <c r="D64" s="136"/>
      <c r="E64" s="136"/>
      <c r="G64" s="49">
        <v>1</v>
      </c>
    </row>
    <row r="65" spans="1:62" x14ac:dyDescent="0.2">
      <c r="A65" s="38" t="s">
        <v>106</v>
      </c>
      <c r="B65" s="38" t="s">
        <v>191</v>
      </c>
      <c r="C65" s="131" t="s">
        <v>310</v>
      </c>
      <c r="D65" s="132"/>
      <c r="E65" s="132"/>
      <c r="F65" s="38" t="s">
        <v>422</v>
      </c>
      <c r="G65" s="48">
        <v>14</v>
      </c>
      <c r="H65" s="148">
        <v>0</v>
      </c>
      <c r="I65" s="148">
        <f>G65*AO65</f>
        <v>0</v>
      </c>
      <c r="J65" s="148">
        <f>G65*AP65</f>
        <v>0</v>
      </c>
      <c r="K65" s="48">
        <f>G65*H65</f>
        <v>0</v>
      </c>
      <c r="L65" s="58" t="s">
        <v>434</v>
      </c>
      <c r="Z65" s="30">
        <f>IF(AQ65="5",BJ65,0)</f>
        <v>0</v>
      </c>
      <c r="AB65" s="30">
        <f>IF(AQ65="1",BH65,0)</f>
        <v>0</v>
      </c>
      <c r="AC65" s="30">
        <f>IF(AQ65="1",BI65,0)</f>
        <v>0</v>
      </c>
      <c r="AD65" s="30">
        <f>IF(AQ65="7",BH65,0)</f>
        <v>0</v>
      </c>
      <c r="AE65" s="30">
        <f>IF(AQ65="7",BI65,0)</f>
        <v>0</v>
      </c>
      <c r="AF65" s="30">
        <f>IF(AQ65="2",BH65,0)</f>
        <v>0</v>
      </c>
      <c r="AG65" s="30">
        <f>IF(AQ65="2",BI65,0)</f>
        <v>0</v>
      </c>
      <c r="AH65" s="30">
        <f>IF(AQ65="0",BJ65,0)</f>
        <v>0</v>
      </c>
      <c r="AI65" s="57" t="s">
        <v>60</v>
      </c>
      <c r="AJ65" s="48">
        <f>IF(AN65=0,K65,0)</f>
        <v>0</v>
      </c>
      <c r="AK65" s="48">
        <f>IF(AN65=15,K65,0)</f>
        <v>0</v>
      </c>
      <c r="AL65" s="48">
        <f>IF(AN65=21,K65,0)</f>
        <v>0</v>
      </c>
      <c r="AN65" s="30">
        <v>21</v>
      </c>
      <c r="AO65" s="30">
        <f>H65*0</f>
        <v>0</v>
      </c>
      <c r="AP65" s="30">
        <f>H65*(1-0)</f>
        <v>0</v>
      </c>
      <c r="AQ65" s="58" t="s">
        <v>92</v>
      </c>
      <c r="AV65" s="30">
        <f>AW65+AX65</f>
        <v>0</v>
      </c>
      <c r="AW65" s="30">
        <f>G65*AO65</f>
        <v>0</v>
      </c>
      <c r="AX65" s="30">
        <f>G65*AP65</f>
        <v>0</v>
      </c>
      <c r="AY65" s="61" t="s">
        <v>449</v>
      </c>
      <c r="AZ65" s="61" t="s">
        <v>466</v>
      </c>
      <c r="BA65" s="57" t="s">
        <v>475</v>
      </c>
      <c r="BC65" s="30">
        <f>AW65+AX65</f>
        <v>0</v>
      </c>
      <c r="BD65" s="30">
        <f>H65/(100-BE65)*100</f>
        <v>0</v>
      </c>
      <c r="BE65" s="30">
        <v>0</v>
      </c>
      <c r="BF65" s="30">
        <f>65</f>
        <v>65</v>
      </c>
      <c r="BH65" s="48">
        <f>G65*AO65</f>
        <v>0</v>
      </c>
      <c r="BI65" s="48">
        <f>G65*AP65</f>
        <v>0</v>
      </c>
      <c r="BJ65" s="48">
        <f>G65*H65</f>
        <v>0</v>
      </c>
    </row>
    <row r="66" spans="1:62" x14ac:dyDescent="0.2">
      <c r="C66" s="135" t="s">
        <v>311</v>
      </c>
      <c r="D66" s="136"/>
      <c r="E66" s="136"/>
      <c r="G66" s="49">
        <v>14</v>
      </c>
    </row>
    <row r="67" spans="1:62" x14ac:dyDescent="0.2">
      <c r="A67" s="38" t="s">
        <v>107</v>
      </c>
      <c r="B67" s="38" t="s">
        <v>192</v>
      </c>
      <c r="C67" s="131" t="s">
        <v>312</v>
      </c>
      <c r="D67" s="132"/>
      <c r="E67" s="132"/>
      <c r="F67" s="38" t="s">
        <v>421</v>
      </c>
      <c r="G67" s="48">
        <v>11</v>
      </c>
      <c r="H67" s="148">
        <v>0</v>
      </c>
      <c r="I67" s="148">
        <f>G67*AO67</f>
        <v>0</v>
      </c>
      <c r="J67" s="148">
        <f>G67*AP67</f>
        <v>0</v>
      </c>
      <c r="K67" s="48">
        <f>G67*H67</f>
        <v>0</v>
      </c>
      <c r="L67" s="58" t="s">
        <v>434</v>
      </c>
      <c r="Z67" s="30">
        <f>IF(AQ67="5",BJ67,0)</f>
        <v>0</v>
      </c>
      <c r="AB67" s="30">
        <f>IF(AQ67="1",BH67,0)</f>
        <v>0</v>
      </c>
      <c r="AC67" s="30">
        <f>IF(AQ67="1",BI67,0)</f>
        <v>0</v>
      </c>
      <c r="AD67" s="30">
        <f>IF(AQ67="7",BH67,0)</f>
        <v>0</v>
      </c>
      <c r="AE67" s="30">
        <f>IF(AQ67="7",BI67,0)</f>
        <v>0</v>
      </c>
      <c r="AF67" s="30">
        <f>IF(AQ67="2",BH67,0)</f>
        <v>0</v>
      </c>
      <c r="AG67" s="30">
        <f>IF(AQ67="2",BI67,0)</f>
        <v>0</v>
      </c>
      <c r="AH67" s="30">
        <f>IF(AQ67="0",BJ67,0)</f>
        <v>0</v>
      </c>
      <c r="AI67" s="57" t="s">
        <v>60</v>
      </c>
      <c r="AJ67" s="48">
        <f>IF(AN67=0,K67,0)</f>
        <v>0</v>
      </c>
      <c r="AK67" s="48">
        <f>IF(AN67=15,K67,0)</f>
        <v>0</v>
      </c>
      <c r="AL67" s="48">
        <f>IF(AN67=21,K67,0)</f>
        <v>0</v>
      </c>
      <c r="AN67" s="30">
        <v>21</v>
      </c>
      <c r="AO67" s="30">
        <f>H67*0</f>
        <v>0</v>
      </c>
      <c r="AP67" s="30">
        <f>H67*(1-0)</f>
        <v>0</v>
      </c>
      <c r="AQ67" s="58" t="s">
        <v>92</v>
      </c>
      <c r="AV67" s="30">
        <f>AW67+AX67</f>
        <v>0</v>
      </c>
      <c r="AW67" s="30">
        <f>G67*AO67</f>
        <v>0</v>
      </c>
      <c r="AX67" s="30">
        <f>G67*AP67</f>
        <v>0</v>
      </c>
      <c r="AY67" s="61" t="s">
        <v>449</v>
      </c>
      <c r="AZ67" s="61" t="s">
        <v>466</v>
      </c>
      <c r="BA67" s="57" t="s">
        <v>475</v>
      </c>
      <c r="BC67" s="30">
        <f>AW67+AX67</f>
        <v>0</v>
      </c>
      <c r="BD67" s="30">
        <f>H67/(100-BE67)*100</f>
        <v>0</v>
      </c>
      <c r="BE67" s="30">
        <v>0</v>
      </c>
      <c r="BF67" s="30">
        <f>67</f>
        <v>67</v>
      </c>
      <c r="BH67" s="48">
        <f>G67*AO67</f>
        <v>0</v>
      </c>
      <c r="BI67" s="48">
        <f>G67*AP67</f>
        <v>0</v>
      </c>
      <c r="BJ67" s="48">
        <f>G67*H67</f>
        <v>0</v>
      </c>
    </row>
    <row r="68" spans="1:62" x14ac:dyDescent="0.2">
      <c r="C68" s="135" t="s">
        <v>313</v>
      </c>
      <c r="D68" s="136"/>
      <c r="E68" s="136"/>
      <c r="G68" s="49">
        <v>11</v>
      </c>
    </row>
    <row r="69" spans="1:62" x14ac:dyDescent="0.2">
      <c r="A69" s="38" t="s">
        <v>108</v>
      </c>
      <c r="B69" s="38" t="s">
        <v>193</v>
      </c>
      <c r="C69" s="131" t="s">
        <v>314</v>
      </c>
      <c r="D69" s="132"/>
      <c r="E69" s="132"/>
      <c r="F69" s="38" t="s">
        <v>421</v>
      </c>
      <c r="G69" s="48">
        <v>11</v>
      </c>
      <c r="H69" s="148">
        <v>0</v>
      </c>
      <c r="I69" s="148">
        <f>G69*AO69</f>
        <v>0</v>
      </c>
      <c r="J69" s="148">
        <f>G69*AP69</f>
        <v>0</v>
      </c>
      <c r="K69" s="48">
        <f>G69*H69</f>
        <v>0</v>
      </c>
      <c r="L69" s="58" t="s">
        <v>434</v>
      </c>
      <c r="Z69" s="30">
        <f>IF(AQ69="5",BJ69,0)</f>
        <v>0</v>
      </c>
      <c r="AB69" s="30">
        <f>IF(AQ69="1",BH69,0)</f>
        <v>0</v>
      </c>
      <c r="AC69" s="30">
        <f>IF(AQ69="1",BI69,0)</f>
        <v>0</v>
      </c>
      <c r="AD69" s="30">
        <f>IF(AQ69="7",BH69,0)</f>
        <v>0</v>
      </c>
      <c r="AE69" s="30">
        <f>IF(AQ69="7",BI69,0)</f>
        <v>0</v>
      </c>
      <c r="AF69" s="30">
        <f>IF(AQ69="2",BH69,0)</f>
        <v>0</v>
      </c>
      <c r="AG69" s="30">
        <f>IF(AQ69="2",BI69,0)</f>
        <v>0</v>
      </c>
      <c r="AH69" s="30">
        <f>IF(AQ69="0",BJ69,0)</f>
        <v>0</v>
      </c>
      <c r="AI69" s="57" t="s">
        <v>60</v>
      </c>
      <c r="AJ69" s="48">
        <f>IF(AN69=0,K69,0)</f>
        <v>0</v>
      </c>
      <c r="AK69" s="48">
        <f>IF(AN69=15,K69,0)</f>
        <v>0</v>
      </c>
      <c r="AL69" s="48">
        <f>IF(AN69=21,K69,0)</f>
        <v>0</v>
      </c>
      <c r="AN69" s="30">
        <v>21</v>
      </c>
      <c r="AO69" s="30">
        <f>H69*0.0752750809061489</f>
        <v>0</v>
      </c>
      <c r="AP69" s="30">
        <f>H69*(1-0.0752750809061489)</f>
        <v>0</v>
      </c>
      <c r="AQ69" s="58" t="s">
        <v>92</v>
      </c>
      <c r="AV69" s="30">
        <f>AW69+AX69</f>
        <v>0</v>
      </c>
      <c r="AW69" s="30">
        <f>G69*AO69</f>
        <v>0</v>
      </c>
      <c r="AX69" s="30">
        <f>G69*AP69</f>
        <v>0</v>
      </c>
      <c r="AY69" s="61" t="s">
        <v>449</v>
      </c>
      <c r="AZ69" s="61" t="s">
        <v>466</v>
      </c>
      <c r="BA69" s="57" t="s">
        <v>475</v>
      </c>
      <c r="BC69" s="30">
        <f>AW69+AX69</f>
        <v>0</v>
      </c>
      <c r="BD69" s="30">
        <f>H69/(100-BE69)*100</f>
        <v>0</v>
      </c>
      <c r="BE69" s="30">
        <v>0</v>
      </c>
      <c r="BF69" s="30">
        <f>69</f>
        <v>69</v>
      </c>
      <c r="BH69" s="48">
        <f>G69*AO69</f>
        <v>0</v>
      </c>
      <c r="BI69" s="48">
        <f>G69*AP69</f>
        <v>0</v>
      </c>
      <c r="BJ69" s="48">
        <f>G69*H69</f>
        <v>0</v>
      </c>
    </row>
    <row r="70" spans="1:62" x14ac:dyDescent="0.2">
      <c r="C70" s="135" t="s">
        <v>313</v>
      </c>
      <c r="D70" s="136"/>
      <c r="E70" s="136"/>
      <c r="G70" s="49">
        <v>11</v>
      </c>
    </row>
    <row r="71" spans="1:62" x14ac:dyDescent="0.2">
      <c r="A71" s="38" t="s">
        <v>109</v>
      </c>
      <c r="B71" s="38" t="s">
        <v>194</v>
      </c>
      <c r="C71" s="131" t="s">
        <v>315</v>
      </c>
      <c r="D71" s="132"/>
      <c r="E71" s="132"/>
      <c r="F71" s="38" t="s">
        <v>422</v>
      </c>
      <c r="G71" s="48">
        <v>14</v>
      </c>
      <c r="H71" s="148">
        <v>0</v>
      </c>
      <c r="I71" s="148">
        <f>G71*AO71</f>
        <v>0</v>
      </c>
      <c r="J71" s="148">
        <f>G71*AP71</f>
        <v>0</v>
      </c>
      <c r="K71" s="48">
        <f>G71*H71</f>
        <v>0</v>
      </c>
      <c r="L71" s="58" t="s">
        <v>434</v>
      </c>
      <c r="Z71" s="30">
        <f>IF(AQ71="5",BJ71,0)</f>
        <v>0</v>
      </c>
      <c r="AB71" s="30">
        <f>IF(AQ71="1",BH71,0)</f>
        <v>0</v>
      </c>
      <c r="AC71" s="30">
        <f>IF(AQ71="1",BI71,0)</f>
        <v>0</v>
      </c>
      <c r="AD71" s="30">
        <f>IF(AQ71="7",BH71,0)</f>
        <v>0</v>
      </c>
      <c r="AE71" s="30">
        <f>IF(AQ71="7",BI71,0)</f>
        <v>0</v>
      </c>
      <c r="AF71" s="30">
        <f>IF(AQ71="2",BH71,0)</f>
        <v>0</v>
      </c>
      <c r="AG71" s="30">
        <f>IF(AQ71="2",BI71,0)</f>
        <v>0</v>
      </c>
      <c r="AH71" s="30">
        <f>IF(AQ71="0",BJ71,0)</f>
        <v>0</v>
      </c>
      <c r="AI71" s="57" t="s">
        <v>60</v>
      </c>
      <c r="AJ71" s="48">
        <f>IF(AN71=0,K71,0)</f>
        <v>0</v>
      </c>
      <c r="AK71" s="48">
        <f>IF(AN71=15,K71,0)</f>
        <v>0</v>
      </c>
      <c r="AL71" s="48">
        <f>IF(AN71=21,K71,0)</f>
        <v>0</v>
      </c>
      <c r="AN71" s="30">
        <v>21</v>
      </c>
      <c r="AO71" s="30">
        <f>H71*0.65489208260727</f>
        <v>0</v>
      </c>
      <c r="AP71" s="30">
        <f>H71*(1-0.65489208260727)</f>
        <v>0</v>
      </c>
      <c r="AQ71" s="58" t="s">
        <v>92</v>
      </c>
      <c r="AV71" s="30">
        <f>AW71+AX71</f>
        <v>0</v>
      </c>
      <c r="AW71" s="30">
        <f>G71*AO71</f>
        <v>0</v>
      </c>
      <c r="AX71" s="30">
        <f>G71*AP71</f>
        <v>0</v>
      </c>
      <c r="AY71" s="61" t="s">
        <v>449</v>
      </c>
      <c r="AZ71" s="61" t="s">
        <v>466</v>
      </c>
      <c r="BA71" s="57" t="s">
        <v>475</v>
      </c>
      <c r="BC71" s="30">
        <f>AW71+AX71</f>
        <v>0</v>
      </c>
      <c r="BD71" s="30">
        <f>H71/(100-BE71)*100</f>
        <v>0</v>
      </c>
      <c r="BE71" s="30">
        <v>0</v>
      </c>
      <c r="BF71" s="30">
        <f>71</f>
        <v>71</v>
      </c>
      <c r="BH71" s="48">
        <f>G71*AO71</f>
        <v>0</v>
      </c>
      <c r="BI71" s="48">
        <f>G71*AP71</f>
        <v>0</v>
      </c>
      <c r="BJ71" s="48">
        <f>G71*H71</f>
        <v>0</v>
      </c>
    </row>
    <row r="72" spans="1:62" x14ac:dyDescent="0.2">
      <c r="B72" s="45" t="s">
        <v>166</v>
      </c>
      <c r="C72" s="133" t="s">
        <v>316</v>
      </c>
      <c r="D72" s="134"/>
      <c r="E72" s="134"/>
      <c r="F72" s="134"/>
      <c r="G72" s="134"/>
      <c r="H72" s="134"/>
      <c r="I72" s="134"/>
      <c r="J72" s="134"/>
      <c r="K72" s="134"/>
      <c r="L72" s="134"/>
    </row>
    <row r="73" spans="1:62" x14ac:dyDescent="0.2">
      <c r="C73" s="135" t="s">
        <v>317</v>
      </c>
      <c r="D73" s="136"/>
      <c r="E73" s="136"/>
      <c r="G73" s="49">
        <v>14</v>
      </c>
    </row>
    <row r="74" spans="1:62" x14ac:dyDescent="0.2">
      <c r="B74" s="45" t="s">
        <v>168</v>
      </c>
      <c r="C74" s="137" t="s">
        <v>318</v>
      </c>
      <c r="D74" s="138"/>
      <c r="E74" s="138"/>
      <c r="F74" s="138"/>
      <c r="G74" s="138"/>
      <c r="H74" s="138"/>
      <c r="I74" s="138"/>
      <c r="J74" s="138"/>
      <c r="K74" s="138"/>
      <c r="L74" s="138"/>
    </row>
    <row r="75" spans="1:62" x14ac:dyDescent="0.2">
      <c r="A75" s="38" t="s">
        <v>110</v>
      </c>
      <c r="B75" s="38" t="s">
        <v>195</v>
      </c>
      <c r="C75" s="131" t="s">
        <v>319</v>
      </c>
      <c r="D75" s="132"/>
      <c r="E75" s="132"/>
      <c r="F75" s="38" t="s">
        <v>424</v>
      </c>
      <c r="G75" s="48">
        <v>2</v>
      </c>
      <c r="H75" s="148">
        <v>0</v>
      </c>
      <c r="I75" s="148">
        <f>G75*AO75</f>
        <v>0</v>
      </c>
      <c r="J75" s="148">
        <f>G75*AP75</f>
        <v>0</v>
      </c>
      <c r="K75" s="48">
        <f>G75*H75</f>
        <v>0</v>
      </c>
      <c r="L75" s="58" t="s">
        <v>434</v>
      </c>
      <c r="Z75" s="30">
        <f>IF(AQ75="5",BJ75,0)</f>
        <v>0</v>
      </c>
      <c r="AB75" s="30">
        <f>IF(AQ75="1",BH75,0)</f>
        <v>0</v>
      </c>
      <c r="AC75" s="30">
        <f>IF(AQ75="1",BI75,0)</f>
        <v>0</v>
      </c>
      <c r="AD75" s="30">
        <f>IF(AQ75="7",BH75,0)</f>
        <v>0</v>
      </c>
      <c r="AE75" s="30">
        <f>IF(AQ75="7",BI75,0)</f>
        <v>0</v>
      </c>
      <c r="AF75" s="30">
        <f>IF(AQ75="2",BH75,0)</f>
        <v>0</v>
      </c>
      <c r="AG75" s="30">
        <f>IF(AQ75="2",BI75,0)</f>
        <v>0</v>
      </c>
      <c r="AH75" s="30">
        <f>IF(AQ75="0",BJ75,0)</f>
        <v>0</v>
      </c>
      <c r="AI75" s="57" t="s">
        <v>60</v>
      </c>
      <c r="AJ75" s="48">
        <f>IF(AN75=0,K75,0)</f>
        <v>0</v>
      </c>
      <c r="AK75" s="48">
        <f>IF(AN75=15,K75,0)</f>
        <v>0</v>
      </c>
      <c r="AL75" s="48">
        <f>IF(AN75=21,K75,0)</f>
        <v>0</v>
      </c>
      <c r="AN75" s="30">
        <v>21</v>
      </c>
      <c r="AO75" s="30">
        <f>H75*0</f>
        <v>0</v>
      </c>
      <c r="AP75" s="30">
        <f>H75*(1-0)</f>
        <v>0</v>
      </c>
      <c r="AQ75" s="58" t="s">
        <v>92</v>
      </c>
      <c r="AV75" s="30">
        <f>AW75+AX75</f>
        <v>0</v>
      </c>
      <c r="AW75" s="30">
        <f>G75*AO75</f>
        <v>0</v>
      </c>
      <c r="AX75" s="30">
        <f>G75*AP75</f>
        <v>0</v>
      </c>
      <c r="AY75" s="61" t="s">
        <v>449</v>
      </c>
      <c r="AZ75" s="61" t="s">
        <v>466</v>
      </c>
      <c r="BA75" s="57" t="s">
        <v>475</v>
      </c>
      <c r="BC75" s="30">
        <f>AW75+AX75</f>
        <v>0</v>
      </c>
      <c r="BD75" s="30">
        <f>H75/(100-BE75)*100</f>
        <v>0</v>
      </c>
      <c r="BE75" s="30">
        <v>0</v>
      </c>
      <c r="BF75" s="30">
        <f>75</f>
        <v>75</v>
      </c>
      <c r="BH75" s="48">
        <f>G75*AO75</f>
        <v>0</v>
      </c>
      <c r="BI75" s="48">
        <f>G75*AP75</f>
        <v>0</v>
      </c>
      <c r="BJ75" s="48">
        <f>G75*H75</f>
        <v>0</v>
      </c>
    </row>
    <row r="76" spans="1:62" x14ac:dyDescent="0.2">
      <c r="C76" s="135" t="s">
        <v>320</v>
      </c>
      <c r="D76" s="136"/>
      <c r="E76" s="136"/>
      <c r="G76" s="49">
        <v>2</v>
      </c>
    </row>
    <row r="77" spans="1:62" x14ac:dyDescent="0.2">
      <c r="A77" s="38" t="s">
        <v>111</v>
      </c>
      <c r="B77" s="38" t="s">
        <v>196</v>
      </c>
      <c r="C77" s="131" t="s">
        <v>321</v>
      </c>
      <c r="D77" s="132"/>
      <c r="E77" s="132"/>
      <c r="F77" s="38" t="s">
        <v>422</v>
      </c>
      <c r="G77" s="48">
        <v>11</v>
      </c>
      <c r="H77" s="148">
        <v>0</v>
      </c>
      <c r="I77" s="148">
        <f>G77*AO77</f>
        <v>0</v>
      </c>
      <c r="J77" s="148">
        <f>G77*AP77</f>
        <v>0</v>
      </c>
      <c r="K77" s="48">
        <f>G77*H77</f>
        <v>0</v>
      </c>
      <c r="L77" s="58" t="s">
        <v>434</v>
      </c>
      <c r="Z77" s="30">
        <f>IF(AQ77="5",BJ77,0)</f>
        <v>0</v>
      </c>
      <c r="AB77" s="30">
        <f>IF(AQ77="1",BH77,0)</f>
        <v>0</v>
      </c>
      <c r="AC77" s="30">
        <f>IF(AQ77="1",BI77,0)</f>
        <v>0</v>
      </c>
      <c r="AD77" s="30">
        <f>IF(AQ77="7",BH77,0)</f>
        <v>0</v>
      </c>
      <c r="AE77" s="30">
        <f>IF(AQ77="7",BI77,0)</f>
        <v>0</v>
      </c>
      <c r="AF77" s="30">
        <f>IF(AQ77="2",BH77,0)</f>
        <v>0</v>
      </c>
      <c r="AG77" s="30">
        <f>IF(AQ77="2",BI77,0)</f>
        <v>0</v>
      </c>
      <c r="AH77" s="30">
        <f>IF(AQ77="0",BJ77,0)</f>
        <v>0</v>
      </c>
      <c r="AI77" s="57" t="s">
        <v>60</v>
      </c>
      <c r="AJ77" s="48">
        <f>IF(AN77=0,K77,0)</f>
        <v>0</v>
      </c>
      <c r="AK77" s="48">
        <f>IF(AN77=15,K77,0)</f>
        <v>0</v>
      </c>
      <c r="AL77" s="48">
        <f>IF(AN77=21,K77,0)</f>
        <v>0</v>
      </c>
      <c r="AN77" s="30">
        <v>21</v>
      </c>
      <c r="AO77" s="30">
        <f>H77*0.205172842576474</f>
        <v>0</v>
      </c>
      <c r="AP77" s="30">
        <f>H77*(1-0.205172842576474)</f>
        <v>0</v>
      </c>
      <c r="AQ77" s="58" t="s">
        <v>92</v>
      </c>
      <c r="AV77" s="30">
        <f>AW77+AX77</f>
        <v>0</v>
      </c>
      <c r="AW77" s="30">
        <f>G77*AO77</f>
        <v>0</v>
      </c>
      <c r="AX77" s="30">
        <f>G77*AP77</f>
        <v>0</v>
      </c>
      <c r="AY77" s="61" t="s">
        <v>449</v>
      </c>
      <c r="AZ77" s="61" t="s">
        <v>466</v>
      </c>
      <c r="BA77" s="57" t="s">
        <v>475</v>
      </c>
      <c r="BC77" s="30">
        <f>AW77+AX77</f>
        <v>0</v>
      </c>
      <c r="BD77" s="30">
        <f>H77/(100-BE77)*100</f>
        <v>0</v>
      </c>
      <c r="BE77" s="30">
        <v>0</v>
      </c>
      <c r="BF77" s="30">
        <f>77</f>
        <v>77</v>
      </c>
      <c r="BH77" s="48">
        <f>G77*AO77</f>
        <v>0</v>
      </c>
      <c r="BI77" s="48">
        <f>G77*AP77</f>
        <v>0</v>
      </c>
      <c r="BJ77" s="48">
        <f>G77*H77</f>
        <v>0</v>
      </c>
    </row>
    <row r="78" spans="1:62" x14ac:dyDescent="0.2">
      <c r="B78" s="45" t="s">
        <v>166</v>
      </c>
      <c r="C78" s="133" t="s">
        <v>322</v>
      </c>
      <c r="D78" s="134"/>
      <c r="E78" s="134"/>
      <c r="F78" s="134"/>
      <c r="G78" s="134"/>
      <c r="H78" s="134"/>
      <c r="I78" s="134"/>
      <c r="J78" s="134"/>
      <c r="K78" s="134"/>
      <c r="L78" s="134"/>
    </row>
    <row r="79" spans="1:62" x14ac:dyDescent="0.2">
      <c r="C79" s="135" t="s">
        <v>313</v>
      </c>
      <c r="D79" s="136"/>
      <c r="E79" s="136"/>
      <c r="G79" s="49">
        <v>11</v>
      </c>
    </row>
    <row r="80" spans="1:62" x14ac:dyDescent="0.2">
      <c r="B80" s="45" t="s">
        <v>168</v>
      </c>
      <c r="C80" s="137" t="s">
        <v>323</v>
      </c>
      <c r="D80" s="138"/>
      <c r="E80" s="138"/>
      <c r="F80" s="138"/>
      <c r="G80" s="138"/>
      <c r="H80" s="138"/>
      <c r="I80" s="138"/>
      <c r="J80" s="138"/>
      <c r="K80" s="138"/>
      <c r="L80" s="138"/>
    </row>
    <row r="81" spans="1:62" x14ac:dyDescent="0.2">
      <c r="A81" s="38" t="s">
        <v>112</v>
      </c>
      <c r="B81" s="38" t="s">
        <v>197</v>
      </c>
      <c r="C81" s="131" t="s">
        <v>324</v>
      </c>
      <c r="D81" s="132"/>
      <c r="E81" s="132"/>
      <c r="F81" s="38" t="s">
        <v>422</v>
      </c>
      <c r="G81" s="48">
        <v>3</v>
      </c>
      <c r="H81" s="148">
        <v>0</v>
      </c>
      <c r="I81" s="148">
        <f>G81*AO81</f>
        <v>0</v>
      </c>
      <c r="J81" s="148">
        <f>G81*AP81</f>
        <v>0</v>
      </c>
      <c r="K81" s="48">
        <f>G81*H81</f>
        <v>0</v>
      </c>
      <c r="L81" s="58" t="s">
        <v>434</v>
      </c>
      <c r="Z81" s="30">
        <f>IF(AQ81="5",BJ81,0)</f>
        <v>0</v>
      </c>
      <c r="AB81" s="30">
        <f>IF(AQ81="1",BH81,0)</f>
        <v>0</v>
      </c>
      <c r="AC81" s="30">
        <f>IF(AQ81="1",BI81,0)</f>
        <v>0</v>
      </c>
      <c r="AD81" s="30">
        <f>IF(AQ81="7",BH81,0)</f>
        <v>0</v>
      </c>
      <c r="AE81" s="30">
        <f>IF(AQ81="7",BI81,0)</f>
        <v>0</v>
      </c>
      <c r="AF81" s="30">
        <f>IF(AQ81="2",BH81,0)</f>
        <v>0</v>
      </c>
      <c r="AG81" s="30">
        <f>IF(AQ81="2",BI81,0)</f>
        <v>0</v>
      </c>
      <c r="AH81" s="30">
        <f>IF(AQ81="0",BJ81,0)</f>
        <v>0</v>
      </c>
      <c r="AI81" s="57" t="s">
        <v>60</v>
      </c>
      <c r="AJ81" s="48">
        <f>IF(AN81=0,K81,0)</f>
        <v>0</v>
      </c>
      <c r="AK81" s="48">
        <f>IF(AN81=15,K81,0)</f>
        <v>0</v>
      </c>
      <c r="AL81" s="48">
        <f>IF(AN81=21,K81,0)</f>
        <v>0</v>
      </c>
      <c r="AN81" s="30">
        <v>21</v>
      </c>
      <c r="AO81" s="30">
        <f>H81*0.527317073170732</f>
        <v>0</v>
      </c>
      <c r="AP81" s="30">
        <f>H81*(1-0.527317073170732)</f>
        <v>0</v>
      </c>
      <c r="AQ81" s="58" t="s">
        <v>92</v>
      </c>
      <c r="AV81" s="30">
        <f>AW81+AX81</f>
        <v>0</v>
      </c>
      <c r="AW81" s="30">
        <f>G81*AO81</f>
        <v>0</v>
      </c>
      <c r="AX81" s="30">
        <f>G81*AP81</f>
        <v>0</v>
      </c>
      <c r="AY81" s="61" t="s">
        <v>449</v>
      </c>
      <c r="AZ81" s="61" t="s">
        <v>466</v>
      </c>
      <c r="BA81" s="57" t="s">
        <v>475</v>
      </c>
      <c r="BC81" s="30">
        <f>AW81+AX81</f>
        <v>0</v>
      </c>
      <c r="BD81" s="30">
        <f>H81/(100-BE81)*100</f>
        <v>0</v>
      </c>
      <c r="BE81" s="30">
        <v>0</v>
      </c>
      <c r="BF81" s="30">
        <f>81</f>
        <v>81</v>
      </c>
      <c r="BH81" s="48">
        <f>G81*AO81</f>
        <v>0</v>
      </c>
      <c r="BI81" s="48">
        <f>G81*AP81</f>
        <v>0</v>
      </c>
      <c r="BJ81" s="48">
        <f>G81*H81</f>
        <v>0</v>
      </c>
    </row>
    <row r="82" spans="1:62" x14ac:dyDescent="0.2">
      <c r="B82" s="45" t="s">
        <v>166</v>
      </c>
      <c r="C82" s="133" t="s">
        <v>322</v>
      </c>
      <c r="D82" s="134"/>
      <c r="E82" s="134"/>
      <c r="F82" s="134"/>
      <c r="G82" s="134"/>
      <c r="H82" s="134"/>
      <c r="I82" s="134"/>
      <c r="J82" s="134"/>
      <c r="K82" s="134"/>
      <c r="L82" s="134"/>
    </row>
    <row r="83" spans="1:62" x14ac:dyDescent="0.2">
      <c r="C83" s="135" t="s">
        <v>282</v>
      </c>
      <c r="D83" s="136"/>
      <c r="E83" s="136"/>
      <c r="G83" s="49">
        <v>3</v>
      </c>
    </row>
    <row r="84" spans="1:62" x14ac:dyDescent="0.2">
      <c r="B84" s="45" t="s">
        <v>168</v>
      </c>
      <c r="C84" s="137" t="s">
        <v>323</v>
      </c>
      <c r="D84" s="138"/>
      <c r="E84" s="138"/>
      <c r="F84" s="138"/>
      <c r="G84" s="138"/>
      <c r="H84" s="138"/>
      <c r="I84" s="138"/>
      <c r="J84" s="138"/>
      <c r="K84" s="138"/>
      <c r="L84" s="138"/>
    </row>
    <row r="85" spans="1:62" x14ac:dyDescent="0.2">
      <c r="A85" s="38" t="s">
        <v>113</v>
      </c>
      <c r="B85" s="38" t="s">
        <v>198</v>
      </c>
      <c r="C85" s="131" t="s">
        <v>325</v>
      </c>
      <c r="D85" s="132"/>
      <c r="E85" s="132"/>
      <c r="F85" s="38" t="s">
        <v>421</v>
      </c>
      <c r="G85" s="48">
        <v>11</v>
      </c>
      <c r="H85" s="148">
        <v>0</v>
      </c>
      <c r="I85" s="148">
        <f>G85*AO85</f>
        <v>0</v>
      </c>
      <c r="J85" s="148">
        <f>G85*AP85</f>
        <v>0</v>
      </c>
      <c r="K85" s="48">
        <f>G85*H85</f>
        <v>0</v>
      </c>
      <c r="L85" s="58" t="s">
        <v>434</v>
      </c>
      <c r="Z85" s="30">
        <f>IF(AQ85="5",BJ85,0)</f>
        <v>0</v>
      </c>
      <c r="AB85" s="30">
        <f>IF(AQ85="1",BH85,0)</f>
        <v>0</v>
      </c>
      <c r="AC85" s="30">
        <f>IF(AQ85="1",BI85,0)</f>
        <v>0</v>
      </c>
      <c r="AD85" s="30">
        <f>IF(AQ85="7",BH85,0)</f>
        <v>0</v>
      </c>
      <c r="AE85" s="30">
        <f>IF(AQ85="7",BI85,0)</f>
        <v>0</v>
      </c>
      <c r="AF85" s="30">
        <f>IF(AQ85="2",BH85,0)</f>
        <v>0</v>
      </c>
      <c r="AG85" s="30">
        <f>IF(AQ85="2",BI85,0)</f>
        <v>0</v>
      </c>
      <c r="AH85" s="30">
        <f>IF(AQ85="0",BJ85,0)</f>
        <v>0</v>
      </c>
      <c r="AI85" s="57" t="s">
        <v>60</v>
      </c>
      <c r="AJ85" s="48">
        <f>IF(AN85=0,K85,0)</f>
        <v>0</v>
      </c>
      <c r="AK85" s="48">
        <f>IF(AN85=15,K85,0)</f>
        <v>0</v>
      </c>
      <c r="AL85" s="48">
        <f>IF(AN85=21,K85,0)</f>
        <v>0</v>
      </c>
      <c r="AN85" s="30">
        <v>21</v>
      </c>
      <c r="AO85" s="30">
        <f>H85*0</f>
        <v>0</v>
      </c>
      <c r="AP85" s="30">
        <f>H85*(1-0)</f>
        <v>0</v>
      </c>
      <c r="AQ85" s="58" t="s">
        <v>92</v>
      </c>
      <c r="AV85" s="30">
        <f>AW85+AX85</f>
        <v>0</v>
      </c>
      <c r="AW85" s="30">
        <f>G85*AO85</f>
        <v>0</v>
      </c>
      <c r="AX85" s="30">
        <f>G85*AP85</f>
        <v>0</v>
      </c>
      <c r="AY85" s="61" t="s">
        <v>449</v>
      </c>
      <c r="AZ85" s="61" t="s">
        <v>466</v>
      </c>
      <c r="BA85" s="57" t="s">
        <v>475</v>
      </c>
      <c r="BC85" s="30">
        <f>AW85+AX85</f>
        <v>0</v>
      </c>
      <c r="BD85" s="30">
        <f>H85/(100-BE85)*100</f>
        <v>0</v>
      </c>
      <c r="BE85" s="30">
        <v>0</v>
      </c>
      <c r="BF85" s="30">
        <f>85</f>
        <v>85</v>
      </c>
      <c r="BH85" s="48">
        <f>G85*AO85</f>
        <v>0</v>
      </c>
      <c r="BI85" s="48">
        <f>G85*AP85</f>
        <v>0</v>
      </c>
      <c r="BJ85" s="48">
        <f>G85*H85</f>
        <v>0</v>
      </c>
    </row>
    <row r="86" spans="1:62" x14ac:dyDescent="0.2">
      <c r="C86" s="135" t="s">
        <v>313</v>
      </c>
      <c r="D86" s="136"/>
      <c r="E86" s="136"/>
      <c r="G86" s="49">
        <v>11</v>
      </c>
    </row>
    <row r="87" spans="1:62" x14ac:dyDescent="0.2">
      <c r="A87" s="38" t="s">
        <v>114</v>
      </c>
      <c r="B87" s="38" t="s">
        <v>199</v>
      </c>
      <c r="C87" s="131" t="s">
        <v>326</v>
      </c>
      <c r="D87" s="132"/>
      <c r="E87" s="132"/>
      <c r="F87" s="38" t="s">
        <v>421</v>
      </c>
      <c r="G87" s="48">
        <v>10</v>
      </c>
      <c r="H87" s="148">
        <v>0</v>
      </c>
      <c r="I87" s="148">
        <f>G87*AO87</f>
        <v>0</v>
      </c>
      <c r="J87" s="148">
        <f>G87*AP87</f>
        <v>0</v>
      </c>
      <c r="K87" s="48">
        <f>G87*H87</f>
        <v>0</v>
      </c>
      <c r="L87" s="58" t="s">
        <v>434</v>
      </c>
      <c r="Z87" s="30">
        <f>IF(AQ87="5",BJ87,0)</f>
        <v>0</v>
      </c>
      <c r="AB87" s="30">
        <f>IF(AQ87="1",BH87,0)</f>
        <v>0</v>
      </c>
      <c r="AC87" s="30">
        <f>IF(AQ87="1",BI87,0)</f>
        <v>0</v>
      </c>
      <c r="AD87" s="30">
        <f>IF(AQ87="7",BH87,0)</f>
        <v>0</v>
      </c>
      <c r="AE87" s="30">
        <f>IF(AQ87="7",BI87,0)</f>
        <v>0</v>
      </c>
      <c r="AF87" s="30">
        <f>IF(AQ87="2",BH87,0)</f>
        <v>0</v>
      </c>
      <c r="AG87" s="30">
        <f>IF(AQ87="2",BI87,0)</f>
        <v>0</v>
      </c>
      <c r="AH87" s="30">
        <f>IF(AQ87="0",BJ87,0)</f>
        <v>0</v>
      </c>
      <c r="AI87" s="57" t="s">
        <v>60</v>
      </c>
      <c r="AJ87" s="48">
        <f>IF(AN87=0,K87,0)</f>
        <v>0</v>
      </c>
      <c r="AK87" s="48">
        <f>IF(AN87=15,K87,0)</f>
        <v>0</v>
      </c>
      <c r="AL87" s="48">
        <f>IF(AN87=21,K87,0)</f>
        <v>0</v>
      </c>
      <c r="AN87" s="30">
        <v>21</v>
      </c>
      <c r="AO87" s="30">
        <f>H87*0</f>
        <v>0</v>
      </c>
      <c r="AP87" s="30">
        <f>H87*(1-0)</f>
        <v>0</v>
      </c>
      <c r="AQ87" s="58" t="s">
        <v>92</v>
      </c>
      <c r="AV87" s="30">
        <f>AW87+AX87</f>
        <v>0</v>
      </c>
      <c r="AW87" s="30">
        <f>G87*AO87</f>
        <v>0</v>
      </c>
      <c r="AX87" s="30">
        <f>G87*AP87</f>
        <v>0</v>
      </c>
      <c r="AY87" s="61" t="s">
        <v>449</v>
      </c>
      <c r="AZ87" s="61" t="s">
        <v>466</v>
      </c>
      <c r="BA87" s="57" t="s">
        <v>475</v>
      </c>
      <c r="BC87" s="30">
        <f>AW87+AX87</f>
        <v>0</v>
      </c>
      <c r="BD87" s="30">
        <f>H87/(100-BE87)*100</f>
        <v>0</v>
      </c>
      <c r="BE87" s="30">
        <v>0</v>
      </c>
      <c r="BF87" s="30">
        <f>87</f>
        <v>87</v>
      </c>
      <c r="BH87" s="48">
        <f>G87*AO87</f>
        <v>0</v>
      </c>
      <c r="BI87" s="48">
        <f>G87*AP87</f>
        <v>0</v>
      </c>
      <c r="BJ87" s="48">
        <f>G87*H87</f>
        <v>0</v>
      </c>
    </row>
    <row r="88" spans="1:62" x14ac:dyDescent="0.2">
      <c r="C88" s="135" t="s">
        <v>327</v>
      </c>
      <c r="D88" s="136"/>
      <c r="E88" s="136"/>
      <c r="G88" s="49">
        <v>10</v>
      </c>
    </row>
    <row r="89" spans="1:62" x14ac:dyDescent="0.2">
      <c r="A89" s="38" t="s">
        <v>115</v>
      </c>
      <c r="B89" s="38" t="s">
        <v>200</v>
      </c>
      <c r="C89" s="131" t="s">
        <v>328</v>
      </c>
      <c r="D89" s="132"/>
      <c r="E89" s="132"/>
      <c r="F89" s="38" t="s">
        <v>424</v>
      </c>
      <c r="G89" s="48">
        <v>6</v>
      </c>
      <c r="H89" s="148">
        <v>0</v>
      </c>
      <c r="I89" s="148">
        <f>G89*AO89</f>
        <v>0</v>
      </c>
      <c r="J89" s="148">
        <f>G89*AP89</f>
        <v>0</v>
      </c>
      <c r="K89" s="48">
        <f>G89*H89</f>
        <v>0</v>
      </c>
      <c r="L89" s="58" t="s">
        <v>434</v>
      </c>
      <c r="Z89" s="30">
        <f>IF(AQ89="5",BJ89,0)</f>
        <v>0</v>
      </c>
      <c r="AB89" s="30">
        <f>IF(AQ89="1",BH89,0)</f>
        <v>0</v>
      </c>
      <c r="AC89" s="30">
        <f>IF(AQ89="1",BI89,0)</f>
        <v>0</v>
      </c>
      <c r="AD89" s="30">
        <f>IF(AQ89="7",BH89,0)</f>
        <v>0</v>
      </c>
      <c r="AE89" s="30">
        <f>IF(AQ89="7",BI89,0)</f>
        <v>0</v>
      </c>
      <c r="AF89" s="30">
        <f>IF(AQ89="2",BH89,0)</f>
        <v>0</v>
      </c>
      <c r="AG89" s="30">
        <f>IF(AQ89="2",BI89,0)</f>
        <v>0</v>
      </c>
      <c r="AH89" s="30">
        <f>IF(AQ89="0",BJ89,0)</f>
        <v>0</v>
      </c>
      <c r="AI89" s="57" t="s">
        <v>60</v>
      </c>
      <c r="AJ89" s="48">
        <f>IF(AN89=0,K89,0)</f>
        <v>0</v>
      </c>
      <c r="AK89" s="48">
        <f>IF(AN89=15,K89,0)</f>
        <v>0</v>
      </c>
      <c r="AL89" s="48">
        <f>IF(AN89=21,K89,0)</f>
        <v>0</v>
      </c>
      <c r="AN89" s="30">
        <v>21</v>
      </c>
      <c r="AO89" s="30">
        <f>H89*0.683353658536585</f>
        <v>0</v>
      </c>
      <c r="AP89" s="30">
        <f>H89*(1-0.683353658536585)</f>
        <v>0</v>
      </c>
      <c r="AQ89" s="58" t="s">
        <v>92</v>
      </c>
      <c r="AV89" s="30">
        <f>AW89+AX89</f>
        <v>0</v>
      </c>
      <c r="AW89" s="30">
        <f>G89*AO89</f>
        <v>0</v>
      </c>
      <c r="AX89" s="30">
        <f>G89*AP89</f>
        <v>0</v>
      </c>
      <c r="AY89" s="61" t="s">
        <v>449</v>
      </c>
      <c r="AZ89" s="61" t="s">
        <v>466</v>
      </c>
      <c r="BA89" s="57" t="s">
        <v>475</v>
      </c>
      <c r="BC89" s="30">
        <f>AW89+AX89</f>
        <v>0</v>
      </c>
      <c r="BD89" s="30">
        <f>H89/(100-BE89)*100</f>
        <v>0</v>
      </c>
      <c r="BE89" s="30">
        <v>0</v>
      </c>
      <c r="BF89" s="30">
        <f>89</f>
        <v>89</v>
      </c>
      <c r="BH89" s="48">
        <f>G89*AO89</f>
        <v>0</v>
      </c>
      <c r="BI89" s="48">
        <f>G89*AP89</f>
        <v>0</v>
      </c>
      <c r="BJ89" s="48">
        <f>G89*H89</f>
        <v>0</v>
      </c>
    </row>
    <row r="90" spans="1:62" x14ac:dyDescent="0.2">
      <c r="C90" s="135" t="s">
        <v>291</v>
      </c>
      <c r="D90" s="136"/>
      <c r="E90" s="136"/>
      <c r="G90" s="49">
        <v>6</v>
      </c>
    </row>
    <row r="91" spans="1:62" x14ac:dyDescent="0.2">
      <c r="A91" s="38" t="s">
        <v>116</v>
      </c>
      <c r="B91" s="38" t="s">
        <v>201</v>
      </c>
      <c r="C91" s="131" t="s">
        <v>329</v>
      </c>
      <c r="D91" s="132"/>
      <c r="E91" s="132"/>
      <c r="F91" s="38" t="s">
        <v>424</v>
      </c>
      <c r="G91" s="48">
        <v>3</v>
      </c>
      <c r="H91" s="148">
        <v>0</v>
      </c>
      <c r="I91" s="148">
        <f>G91*AO91</f>
        <v>0</v>
      </c>
      <c r="J91" s="148">
        <f>G91*AP91</f>
        <v>0</v>
      </c>
      <c r="K91" s="48">
        <f>G91*H91</f>
        <v>0</v>
      </c>
      <c r="L91" s="58" t="s">
        <v>434</v>
      </c>
      <c r="Z91" s="30">
        <f>IF(AQ91="5",BJ91,0)</f>
        <v>0</v>
      </c>
      <c r="AB91" s="30">
        <f>IF(AQ91="1",BH91,0)</f>
        <v>0</v>
      </c>
      <c r="AC91" s="30">
        <f>IF(AQ91="1",BI91,0)</f>
        <v>0</v>
      </c>
      <c r="AD91" s="30">
        <f>IF(AQ91="7",BH91,0)</f>
        <v>0</v>
      </c>
      <c r="AE91" s="30">
        <f>IF(AQ91="7",BI91,0)</f>
        <v>0</v>
      </c>
      <c r="AF91" s="30">
        <f>IF(AQ91="2",BH91,0)</f>
        <v>0</v>
      </c>
      <c r="AG91" s="30">
        <f>IF(AQ91="2",BI91,0)</f>
        <v>0</v>
      </c>
      <c r="AH91" s="30">
        <f>IF(AQ91="0",BJ91,0)</f>
        <v>0</v>
      </c>
      <c r="AI91" s="57" t="s">
        <v>60</v>
      </c>
      <c r="AJ91" s="48">
        <f>IF(AN91=0,K91,0)</f>
        <v>0</v>
      </c>
      <c r="AK91" s="48">
        <f>IF(AN91=15,K91,0)</f>
        <v>0</v>
      </c>
      <c r="AL91" s="48">
        <f>IF(AN91=21,K91,0)</f>
        <v>0</v>
      </c>
      <c r="AN91" s="30">
        <v>21</v>
      </c>
      <c r="AO91" s="30">
        <f>H91*0.696315789473684</f>
        <v>0</v>
      </c>
      <c r="AP91" s="30">
        <f>H91*(1-0.696315789473684)</f>
        <v>0</v>
      </c>
      <c r="AQ91" s="58" t="s">
        <v>92</v>
      </c>
      <c r="AV91" s="30">
        <f>AW91+AX91</f>
        <v>0</v>
      </c>
      <c r="AW91" s="30">
        <f>G91*AO91</f>
        <v>0</v>
      </c>
      <c r="AX91" s="30">
        <f>G91*AP91</f>
        <v>0</v>
      </c>
      <c r="AY91" s="61" t="s">
        <v>449</v>
      </c>
      <c r="AZ91" s="61" t="s">
        <v>466</v>
      </c>
      <c r="BA91" s="57" t="s">
        <v>475</v>
      </c>
      <c r="BC91" s="30">
        <f>AW91+AX91</f>
        <v>0</v>
      </c>
      <c r="BD91" s="30">
        <f>H91/(100-BE91)*100</f>
        <v>0</v>
      </c>
      <c r="BE91" s="30">
        <v>0</v>
      </c>
      <c r="BF91" s="30">
        <f>91</f>
        <v>91</v>
      </c>
      <c r="BH91" s="48">
        <f>G91*AO91</f>
        <v>0</v>
      </c>
      <c r="BI91" s="48">
        <f>G91*AP91</f>
        <v>0</v>
      </c>
      <c r="BJ91" s="48">
        <f>G91*H91</f>
        <v>0</v>
      </c>
    </row>
    <row r="92" spans="1:62" x14ac:dyDescent="0.2">
      <c r="C92" s="135" t="s">
        <v>282</v>
      </c>
      <c r="D92" s="136"/>
      <c r="E92" s="136"/>
      <c r="G92" s="49">
        <v>3</v>
      </c>
    </row>
    <row r="93" spans="1:62" x14ac:dyDescent="0.2">
      <c r="A93" s="38" t="s">
        <v>117</v>
      </c>
      <c r="B93" s="38" t="s">
        <v>202</v>
      </c>
      <c r="C93" s="131" t="s">
        <v>330</v>
      </c>
      <c r="D93" s="132"/>
      <c r="E93" s="132"/>
      <c r="F93" s="38" t="s">
        <v>421</v>
      </c>
      <c r="G93" s="48">
        <v>9</v>
      </c>
      <c r="H93" s="148">
        <v>0</v>
      </c>
      <c r="I93" s="148">
        <f>G93*AO93</f>
        <v>0</v>
      </c>
      <c r="J93" s="148">
        <f>G93*AP93</f>
        <v>0</v>
      </c>
      <c r="K93" s="48">
        <f>G93*H93</f>
        <v>0</v>
      </c>
      <c r="L93" s="58" t="s">
        <v>434</v>
      </c>
      <c r="Z93" s="30">
        <f>IF(AQ93="5",BJ93,0)</f>
        <v>0</v>
      </c>
      <c r="AB93" s="30">
        <f>IF(AQ93="1",BH93,0)</f>
        <v>0</v>
      </c>
      <c r="AC93" s="30">
        <f>IF(AQ93="1",BI93,0)</f>
        <v>0</v>
      </c>
      <c r="AD93" s="30">
        <f>IF(AQ93="7",BH93,0)</f>
        <v>0</v>
      </c>
      <c r="AE93" s="30">
        <f>IF(AQ93="7",BI93,0)</f>
        <v>0</v>
      </c>
      <c r="AF93" s="30">
        <f>IF(AQ93="2",BH93,0)</f>
        <v>0</v>
      </c>
      <c r="AG93" s="30">
        <f>IF(AQ93="2",BI93,0)</f>
        <v>0</v>
      </c>
      <c r="AH93" s="30">
        <f>IF(AQ93="0",BJ93,0)</f>
        <v>0</v>
      </c>
      <c r="AI93" s="57" t="s">
        <v>60</v>
      </c>
      <c r="AJ93" s="48">
        <f>IF(AN93=0,K93,0)</f>
        <v>0</v>
      </c>
      <c r="AK93" s="48">
        <f>IF(AN93=15,K93,0)</f>
        <v>0</v>
      </c>
      <c r="AL93" s="48">
        <f>IF(AN93=21,K93,0)</f>
        <v>0</v>
      </c>
      <c r="AN93" s="30">
        <v>21</v>
      </c>
      <c r="AO93" s="30">
        <f>H93*0.478939992993344</f>
        <v>0</v>
      </c>
      <c r="AP93" s="30">
        <f>H93*(1-0.478939992993344)</f>
        <v>0</v>
      </c>
      <c r="AQ93" s="58" t="s">
        <v>92</v>
      </c>
      <c r="AV93" s="30">
        <f>AW93+AX93</f>
        <v>0</v>
      </c>
      <c r="AW93" s="30">
        <f>G93*AO93</f>
        <v>0</v>
      </c>
      <c r="AX93" s="30">
        <f>G93*AP93</f>
        <v>0</v>
      </c>
      <c r="AY93" s="61" t="s">
        <v>449</v>
      </c>
      <c r="AZ93" s="61" t="s">
        <v>466</v>
      </c>
      <c r="BA93" s="57" t="s">
        <v>475</v>
      </c>
      <c r="BC93" s="30">
        <f>AW93+AX93</f>
        <v>0</v>
      </c>
      <c r="BD93" s="30">
        <f>H93/(100-BE93)*100</f>
        <v>0</v>
      </c>
      <c r="BE93" s="30">
        <v>0</v>
      </c>
      <c r="BF93" s="30">
        <f>93</f>
        <v>93</v>
      </c>
      <c r="BH93" s="48">
        <f>G93*AO93</f>
        <v>0</v>
      </c>
      <c r="BI93" s="48">
        <f>G93*AP93</f>
        <v>0</v>
      </c>
      <c r="BJ93" s="48">
        <f>G93*H93</f>
        <v>0</v>
      </c>
    </row>
    <row r="94" spans="1:62" x14ac:dyDescent="0.2">
      <c r="C94" s="135" t="s">
        <v>305</v>
      </c>
      <c r="D94" s="136"/>
      <c r="E94" s="136"/>
      <c r="G94" s="49">
        <v>9</v>
      </c>
    </row>
    <row r="95" spans="1:62" x14ac:dyDescent="0.2">
      <c r="A95" s="38" t="s">
        <v>118</v>
      </c>
      <c r="B95" s="38" t="s">
        <v>203</v>
      </c>
      <c r="C95" s="131" t="s">
        <v>331</v>
      </c>
      <c r="D95" s="132"/>
      <c r="E95" s="132"/>
      <c r="F95" s="38" t="s">
        <v>421</v>
      </c>
      <c r="G95" s="48">
        <v>11</v>
      </c>
      <c r="H95" s="148">
        <v>0</v>
      </c>
      <c r="I95" s="148">
        <f>G95*AO95</f>
        <v>0</v>
      </c>
      <c r="J95" s="148">
        <f>G95*AP95</f>
        <v>0</v>
      </c>
      <c r="K95" s="48">
        <f>G95*H95</f>
        <v>0</v>
      </c>
      <c r="L95" s="58" t="s">
        <v>434</v>
      </c>
      <c r="Z95" s="30">
        <f>IF(AQ95="5",BJ95,0)</f>
        <v>0</v>
      </c>
      <c r="AB95" s="30">
        <f>IF(AQ95="1",BH95,0)</f>
        <v>0</v>
      </c>
      <c r="AC95" s="30">
        <f>IF(AQ95="1",BI95,0)</f>
        <v>0</v>
      </c>
      <c r="AD95" s="30">
        <f>IF(AQ95="7",BH95,0)</f>
        <v>0</v>
      </c>
      <c r="AE95" s="30">
        <f>IF(AQ95="7",BI95,0)</f>
        <v>0</v>
      </c>
      <c r="AF95" s="30">
        <f>IF(AQ95="2",BH95,0)</f>
        <v>0</v>
      </c>
      <c r="AG95" s="30">
        <f>IF(AQ95="2",BI95,0)</f>
        <v>0</v>
      </c>
      <c r="AH95" s="30">
        <f>IF(AQ95="0",BJ95,0)</f>
        <v>0</v>
      </c>
      <c r="AI95" s="57" t="s">
        <v>60</v>
      </c>
      <c r="AJ95" s="48">
        <f>IF(AN95=0,K95,0)</f>
        <v>0</v>
      </c>
      <c r="AK95" s="48">
        <f>IF(AN95=15,K95,0)</f>
        <v>0</v>
      </c>
      <c r="AL95" s="48">
        <f>IF(AN95=21,K95,0)</f>
        <v>0</v>
      </c>
      <c r="AN95" s="30">
        <v>21</v>
      </c>
      <c r="AO95" s="30">
        <f>H95*0</f>
        <v>0</v>
      </c>
      <c r="AP95" s="30">
        <f>H95*(1-0)</f>
        <v>0</v>
      </c>
      <c r="AQ95" s="58" t="s">
        <v>92</v>
      </c>
      <c r="AV95" s="30">
        <f>AW95+AX95</f>
        <v>0</v>
      </c>
      <c r="AW95" s="30">
        <f>G95*AO95</f>
        <v>0</v>
      </c>
      <c r="AX95" s="30">
        <f>G95*AP95</f>
        <v>0</v>
      </c>
      <c r="AY95" s="61" t="s">
        <v>449</v>
      </c>
      <c r="AZ95" s="61" t="s">
        <v>466</v>
      </c>
      <c r="BA95" s="57" t="s">
        <v>475</v>
      </c>
      <c r="BC95" s="30">
        <f>AW95+AX95</f>
        <v>0</v>
      </c>
      <c r="BD95" s="30">
        <f>H95/(100-BE95)*100</f>
        <v>0</v>
      </c>
      <c r="BE95" s="30">
        <v>0</v>
      </c>
      <c r="BF95" s="30">
        <f>95</f>
        <v>95</v>
      </c>
      <c r="BH95" s="48">
        <f>G95*AO95</f>
        <v>0</v>
      </c>
      <c r="BI95" s="48">
        <f>G95*AP95</f>
        <v>0</v>
      </c>
      <c r="BJ95" s="48">
        <f>G95*H95</f>
        <v>0</v>
      </c>
    </row>
    <row r="96" spans="1:62" x14ac:dyDescent="0.2">
      <c r="C96" s="135" t="s">
        <v>313</v>
      </c>
      <c r="D96" s="136"/>
      <c r="E96" s="136"/>
      <c r="G96" s="49">
        <v>11</v>
      </c>
    </row>
    <row r="97" spans="1:62" x14ac:dyDescent="0.2">
      <c r="A97" s="38" t="s">
        <v>119</v>
      </c>
      <c r="B97" s="38" t="s">
        <v>204</v>
      </c>
      <c r="C97" s="131" t="s">
        <v>332</v>
      </c>
      <c r="D97" s="132"/>
      <c r="E97" s="132"/>
      <c r="F97" s="38" t="s">
        <v>421</v>
      </c>
      <c r="G97" s="48">
        <v>2</v>
      </c>
      <c r="H97" s="148">
        <v>0</v>
      </c>
      <c r="I97" s="148">
        <f>G97*AO97</f>
        <v>0</v>
      </c>
      <c r="J97" s="148">
        <f>G97*AP97</f>
        <v>0</v>
      </c>
      <c r="K97" s="48">
        <f>G97*H97</f>
        <v>0</v>
      </c>
      <c r="L97" s="58" t="s">
        <v>434</v>
      </c>
      <c r="Z97" s="30">
        <f>IF(AQ97="5",BJ97,0)</f>
        <v>0</v>
      </c>
      <c r="AB97" s="30">
        <f>IF(AQ97="1",BH97,0)</f>
        <v>0</v>
      </c>
      <c r="AC97" s="30">
        <f>IF(AQ97="1",BI97,0)</f>
        <v>0</v>
      </c>
      <c r="AD97" s="30">
        <f>IF(AQ97="7",BH97,0)</f>
        <v>0</v>
      </c>
      <c r="AE97" s="30">
        <f>IF(AQ97="7",BI97,0)</f>
        <v>0</v>
      </c>
      <c r="AF97" s="30">
        <f>IF(AQ97="2",BH97,0)</f>
        <v>0</v>
      </c>
      <c r="AG97" s="30">
        <f>IF(AQ97="2",BI97,0)</f>
        <v>0</v>
      </c>
      <c r="AH97" s="30">
        <f>IF(AQ97="0",BJ97,0)</f>
        <v>0</v>
      </c>
      <c r="AI97" s="57" t="s">
        <v>60</v>
      </c>
      <c r="AJ97" s="48">
        <f>IF(AN97=0,K97,0)</f>
        <v>0</v>
      </c>
      <c r="AK97" s="48">
        <f>IF(AN97=15,K97,0)</f>
        <v>0</v>
      </c>
      <c r="AL97" s="48">
        <f>IF(AN97=21,K97,0)</f>
        <v>0</v>
      </c>
      <c r="AN97" s="30">
        <v>21</v>
      </c>
      <c r="AO97" s="30">
        <f>H97*0.780645161290322</f>
        <v>0</v>
      </c>
      <c r="AP97" s="30">
        <f>H97*(1-0.780645161290322)</f>
        <v>0</v>
      </c>
      <c r="AQ97" s="58" t="s">
        <v>92</v>
      </c>
      <c r="AV97" s="30">
        <f>AW97+AX97</f>
        <v>0</v>
      </c>
      <c r="AW97" s="30">
        <f>G97*AO97</f>
        <v>0</v>
      </c>
      <c r="AX97" s="30">
        <f>G97*AP97</f>
        <v>0</v>
      </c>
      <c r="AY97" s="61" t="s">
        <v>449</v>
      </c>
      <c r="AZ97" s="61" t="s">
        <v>466</v>
      </c>
      <c r="BA97" s="57" t="s">
        <v>475</v>
      </c>
      <c r="BC97" s="30">
        <f>AW97+AX97</f>
        <v>0</v>
      </c>
      <c r="BD97" s="30">
        <f>H97/(100-BE97)*100</f>
        <v>0</v>
      </c>
      <c r="BE97" s="30">
        <v>0</v>
      </c>
      <c r="BF97" s="30">
        <f>97</f>
        <v>97</v>
      </c>
      <c r="BH97" s="48">
        <f>G97*AO97</f>
        <v>0</v>
      </c>
      <c r="BI97" s="48">
        <f>G97*AP97</f>
        <v>0</v>
      </c>
      <c r="BJ97" s="48">
        <f>G97*H97</f>
        <v>0</v>
      </c>
    </row>
    <row r="98" spans="1:62" x14ac:dyDescent="0.2">
      <c r="C98" s="135" t="s">
        <v>320</v>
      </c>
      <c r="D98" s="136"/>
      <c r="E98" s="136"/>
      <c r="G98" s="49">
        <v>2</v>
      </c>
    </row>
    <row r="99" spans="1:62" ht="38.450000000000003" customHeight="1" x14ac:dyDescent="0.2">
      <c r="B99" s="45" t="s">
        <v>168</v>
      </c>
      <c r="C99" s="137" t="s">
        <v>333</v>
      </c>
      <c r="D99" s="138"/>
      <c r="E99" s="138"/>
      <c r="F99" s="138"/>
      <c r="G99" s="138"/>
      <c r="H99" s="138"/>
      <c r="I99" s="138"/>
      <c r="J99" s="138"/>
      <c r="K99" s="138"/>
      <c r="L99" s="138"/>
    </row>
    <row r="100" spans="1:62" x14ac:dyDescent="0.2">
      <c r="A100" s="38" t="s">
        <v>120</v>
      </c>
      <c r="B100" s="38" t="s">
        <v>205</v>
      </c>
      <c r="C100" s="131" t="s">
        <v>334</v>
      </c>
      <c r="D100" s="132"/>
      <c r="E100" s="132"/>
      <c r="F100" s="38" t="s">
        <v>421</v>
      </c>
      <c r="G100" s="48">
        <v>1</v>
      </c>
      <c r="H100" s="148">
        <v>0</v>
      </c>
      <c r="I100" s="148">
        <f>G100*AO100</f>
        <v>0</v>
      </c>
      <c r="J100" s="148">
        <f>G100*AP100</f>
        <v>0</v>
      </c>
      <c r="K100" s="48">
        <f>G100*H100</f>
        <v>0</v>
      </c>
      <c r="L100" s="58" t="s">
        <v>434</v>
      </c>
      <c r="Z100" s="30">
        <f>IF(AQ100="5",BJ100,0)</f>
        <v>0</v>
      </c>
      <c r="AB100" s="30">
        <f>IF(AQ100="1",BH100,0)</f>
        <v>0</v>
      </c>
      <c r="AC100" s="30">
        <f>IF(AQ100="1",BI100,0)</f>
        <v>0</v>
      </c>
      <c r="AD100" s="30">
        <f>IF(AQ100="7",BH100,0)</f>
        <v>0</v>
      </c>
      <c r="AE100" s="30">
        <f>IF(AQ100="7",BI100,0)</f>
        <v>0</v>
      </c>
      <c r="AF100" s="30">
        <f>IF(AQ100="2",BH100,0)</f>
        <v>0</v>
      </c>
      <c r="AG100" s="30">
        <f>IF(AQ100="2",BI100,0)</f>
        <v>0</v>
      </c>
      <c r="AH100" s="30">
        <f>IF(AQ100="0",BJ100,0)</f>
        <v>0</v>
      </c>
      <c r="AI100" s="57" t="s">
        <v>60</v>
      </c>
      <c r="AJ100" s="48">
        <f>IF(AN100=0,K100,0)</f>
        <v>0</v>
      </c>
      <c r="AK100" s="48">
        <f>IF(AN100=15,K100,0)</f>
        <v>0</v>
      </c>
      <c r="AL100" s="48">
        <f>IF(AN100=21,K100,0)</f>
        <v>0</v>
      </c>
      <c r="AN100" s="30">
        <v>21</v>
      </c>
      <c r="AO100" s="30">
        <f>H100*0.629931972789116</f>
        <v>0</v>
      </c>
      <c r="AP100" s="30">
        <f>H100*(1-0.629931972789116)</f>
        <v>0</v>
      </c>
      <c r="AQ100" s="58" t="s">
        <v>92</v>
      </c>
      <c r="AV100" s="30">
        <f>AW100+AX100</f>
        <v>0</v>
      </c>
      <c r="AW100" s="30">
        <f>G100*AO100</f>
        <v>0</v>
      </c>
      <c r="AX100" s="30">
        <f>G100*AP100</f>
        <v>0</v>
      </c>
      <c r="AY100" s="61" t="s">
        <v>449</v>
      </c>
      <c r="AZ100" s="61" t="s">
        <v>466</v>
      </c>
      <c r="BA100" s="57" t="s">
        <v>475</v>
      </c>
      <c r="BC100" s="30">
        <f>AW100+AX100</f>
        <v>0</v>
      </c>
      <c r="BD100" s="30">
        <f>H100/(100-BE100)*100</f>
        <v>0</v>
      </c>
      <c r="BE100" s="30">
        <v>0</v>
      </c>
      <c r="BF100" s="30">
        <f>100</f>
        <v>100</v>
      </c>
      <c r="BH100" s="48">
        <f>G100*AO100</f>
        <v>0</v>
      </c>
      <c r="BI100" s="48">
        <f>G100*AP100</f>
        <v>0</v>
      </c>
      <c r="BJ100" s="48">
        <f>G100*H100</f>
        <v>0</v>
      </c>
    </row>
    <row r="101" spans="1:62" x14ac:dyDescent="0.2">
      <c r="C101" s="135" t="s">
        <v>309</v>
      </c>
      <c r="D101" s="136"/>
      <c r="E101" s="136"/>
      <c r="G101" s="49">
        <v>1</v>
      </c>
    </row>
    <row r="102" spans="1:62" x14ac:dyDescent="0.2">
      <c r="A102" s="38" t="s">
        <v>121</v>
      </c>
      <c r="B102" s="38" t="s">
        <v>206</v>
      </c>
      <c r="C102" s="131" t="s">
        <v>335</v>
      </c>
      <c r="D102" s="132"/>
      <c r="E102" s="132"/>
      <c r="F102" s="38" t="s">
        <v>421</v>
      </c>
      <c r="G102" s="48">
        <v>1</v>
      </c>
      <c r="H102" s="148">
        <v>0</v>
      </c>
      <c r="I102" s="148">
        <f>G102*AO102</f>
        <v>0</v>
      </c>
      <c r="J102" s="148">
        <f>G102*AP102</f>
        <v>0</v>
      </c>
      <c r="K102" s="48">
        <f>G102*H102</f>
        <v>0</v>
      </c>
      <c r="L102" s="58" t="s">
        <v>434</v>
      </c>
      <c r="Z102" s="30">
        <f>IF(AQ102="5",BJ102,0)</f>
        <v>0</v>
      </c>
      <c r="AB102" s="30">
        <f>IF(AQ102="1",BH102,0)</f>
        <v>0</v>
      </c>
      <c r="AC102" s="30">
        <f>IF(AQ102="1",BI102,0)</f>
        <v>0</v>
      </c>
      <c r="AD102" s="30">
        <f>IF(AQ102="7",BH102,0)</f>
        <v>0</v>
      </c>
      <c r="AE102" s="30">
        <f>IF(AQ102="7",BI102,0)</f>
        <v>0</v>
      </c>
      <c r="AF102" s="30">
        <f>IF(AQ102="2",BH102,0)</f>
        <v>0</v>
      </c>
      <c r="AG102" s="30">
        <f>IF(AQ102="2",BI102,0)</f>
        <v>0</v>
      </c>
      <c r="AH102" s="30">
        <f>IF(AQ102="0",BJ102,0)</f>
        <v>0</v>
      </c>
      <c r="AI102" s="57" t="s">
        <v>60</v>
      </c>
      <c r="AJ102" s="48">
        <f>IF(AN102=0,K102,0)</f>
        <v>0</v>
      </c>
      <c r="AK102" s="48">
        <f>IF(AN102=15,K102,0)</f>
        <v>0</v>
      </c>
      <c r="AL102" s="48">
        <f>IF(AN102=21,K102,0)</f>
        <v>0</v>
      </c>
      <c r="AN102" s="30">
        <v>21</v>
      </c>
      <c r="AO102" s="30">
        <f>H102*0.810672853828306</f>
        <v>0</v>
      </c>
      <c r="AP102" s="30">
        <f>H102*(1-0.810672853828306)</f>
        <v>0</v>
      </c>
      <c r="AQ102" s="58" t="s">
        <v>92</v>
      </c>
      <c r="AV102" s="30">
        <f>AW102+AX102</f>
        <v>0</v>
      </c>
      <c r="AW102" s="30">
        <f>G102*AO102</f>
        <v>0</v>
      </c>
      <c r="AX102" s="30">
        <f>G102*AP102</f>
        <v>0</v>
      </c>
      <c r="AY102" s="61" t="s">
        <v>449</v>
      </c>
      <c r="AZ102" s="61" t="s">
        <v>466</v>
      </c>
      <c r="BA102" s="57" t="s">
        <v>475</v>
      </c>
      <c r="BC102" s="30">
        <f>AW102+AX102</f>
        <v>0</v>
      </c>
      <c r="BD102" s="30">
        <f>H102/(100-BE102)*100</f>
        <v>0</v>
      </c>
      <c r="BE102" s="30">
        <v>0</v>
      </c>
      <c r="BF102" s="30">
        <f>102</f>
        <v>102</v>
      </c>
      <c r="BH102" s="48">
        <f>G102*AO102</f>
        <v>0</v>
      </c>
      <c r="BI102" s="48">
        <f>G102*AP102</f>
        <v>0</v>
      </c>
      <c r="BJ102" s="48">
        <f>G102*H102</f>
        <v>0</v>
      </c>
    </row>
    <row r="103" spans="1:62" x14ac:dyDescent="0.2">
      <c r="C103" s="135" t="s">
        <v>309</v>
      </c>
      <c r="D103" s="136"/>
      <c r="E103" s="136"/>
      <c r="G103" s="49">
        <v>1</v>
      </c>
    </row>
    <row r="104" spans="1:62" x14ac:dyDescent="0.2">
      <c r="A104" s="38" t="s">
        <v>122</v>
      </c>
      <c r="B104" s="38" t="s">
        <v>207</v>
      </c>
      <c r="C104" s="131" t="s">
        <v>336</v>
      </c>
      <c r="D104" s="132"/>
      <c r="E104" s="132"/>
      <c r="F104" s="38" t="s">
        <v>422</v>
      </c>
      <c r="G104" s="48">
        <v>14</v>
      </c>
      <c r="H104" s="148">
        <v>0</v>
      </c>
      <c r="I104" s="148">
        <f>G104*AO104</f>
        <v>0</v>
      </c>
      <c r="J104" s="148">
        <f>G104*AP104</f>
        <v>0</v>
      </c>
      <c r="K104" s="48">
        <f>G104*H104</f>
        <v>0</v>
      </c>
      <c r="L104" s="58" t="s">
        <v>434</v>
      </c>
      <c r="Z104" s="30">
        <f>IF(AQ104="5",BJ104,0)</f>
        <v>0</v>
      </c>
      <c r="AB104" s="30">
        <f>IF(AQ104="1",BH104,0)</f>
        <v>0</v>
      </c>
      <c r="AC104" s="30">
        <f>IF(AQ104="1",BI104,0)</f>
        <v>0</v>
      </c>
      <c r="AD104" s="30">
        <f>IF(AQ104="7",BH104,0)</f>
        <v>0</v>
      </c>
      <c r="AE104" s="30">
        <f>IF(AQ104="7",BI104,0)</f>
        <v>0</v>
      </c>
      <c r="AF104" s="30">
        <f>IF(AQ104="2",BH104,0)</f>
        <v>0</v>
      </c>
      <c r="AG104" s="30">
        <f>IF(AQ104="2",BI104,0)</f>
        <v>0</v>
      </c>
      <c r="AH104" s="30">
        <f>IF(AQ104="0",BJ104,0)</f>
        <v>0</v>
      </c>
      <c r="AI104" s="57" t="s">
        <v>60</v>
      </c>
      <c r="AJ104" s="48">
        <f>IF(AN104=0,K104,0)</f>
        <v>0</v>
      </c>
      <c r="AK104" s="48">
        <f>IF(AN104=15,K104,0)</f>
        <v>0</v>
      </c>
      <c r="AL104" s="48">
        <f>IF(AN104=21,K104,0)</f>
        <v>0</v>
      </c>
      <c r="AN104" s="30">
        <v>21</v>
      </c>
      <c r="AO104" s="30">
        <f>H104*0.0137931034482759</f>
        <v>0</v>
      </c>
      <c r="AP104" s="30">
        <f>H104*(1-0.0137931034482759)</f>
        <v>0</v>
      </c>
      <c r="AQ104" s="58" t="s">
        <v>92</v>
      </c>
      <c r="AV104" s="30">
        <f>AW104+AX104</f>
        <v>0</v>
      </c>
      <c r="AW104" s="30">
        <f>G104*AO104</f>
        <v>0</v>
      </c>
      <c r="AX104" s="30">
        <f>G104*AP104</f>
        <v>0</v>
      </c>
      <c r="AY104" s="61" t="s">
        <v>449</v>
      </c>
      <c r="AZ104" s="61" t="s">
        <v>466</v>
      </c>
      <c r="BA104" s="57" t="s">
        <v>475</v>
      </c>
      <c r="BC104" s="30">
        <f>AW104+AX104</f>
        <v>0</v>
      </c>
      <c r="BD104" s="30">
        <f>H104/(100-BE104)*100</f>
        <v>0</v>
      </c>
      <c r="BE104" s="30">
        <v>0</v>
      </c>
      <c r="BF104" s="30">
        <f>104</f>
        <v>104</v>
      </c>
      <c r="BH104" s="48">
        <f>G104*AO104</f>
        <v>0</v>
      </c>
      <c r="BI104" s="48">
        <f>G104*AP104</f>
        <v>0</v>
      </c>
      <c r="BJ104" s="48">
        <f>G104*H104</f>
        <v>0</v>
      </c>
    </row>
    <row r="105" spans="1:62" x14ac:dyDescent="0.2">
      <c r="C105" s="135" t="s">
        <v>311</v>
      </c>
      <c r="D105" s="136"/>
      <c r="E105" s="136"/>
      <c r="G105" s="49">
        <v>14</v>
      </c>
    </row>
    <row r="106" spans="1:62" x14ac:dyDescent="0.2">
      <c r="A106" s="38" t="s">
        <v>123</v>
      </c>
      <c r="B106" s="38" t="s">
        <v>208</v>
      </c>
      <c r="C106" s="131" t="s">
        <v>337</v>
      </c>
      <c r="D106" s="132"/>
      <c r="E106" s="132"/>
      <c r="F106" s="38" t="s">
        <v>422</v>
      </c>
      <c r="G106" s="48">
        <v>14</v>
      </c>
      <c r="H106" s="148">
        <v>0</v>
      </c>
      <c r="I106" s="148">
        <f>G106*AO106</f>
        <v>0</v>
      </c>
      <c r="J106" s="148">
        <f>G106*AP106</f>
        <v>0</v>
      </c>
      <c r="K106" s="48">
        <f>G106*H106</f>
        <v>0</v>
      </c>
      <c r="L106" s="58" t="s">
        <v>434</v>
      </c>
      <c r="Z106" s="30">
        <f>IF(AQ106="5",BJ106,0)</f>
        <v>0</v>
      </c>
      <c r="AB106" s="30">
        <f>IF(AQ106="1",BH106,0)</f>
        <v>0</v>
      </c>
      <c r="AC106" s="30">
        <f>IF(AQ106="1",BI106,0)</f>
        <v>0</v>
      </c>
      <c r="AD106" s="30">
        <f>IF(AQ106="7",BH106,0)</f>
        <v>0</v>
      </c>
      <c r="AE106" s="30">
        <f>IF(AQ106="7",BI106,0)</f>
        <v>0</v>
      </c>
      <c r="AF106" s="30">
        <f>IF(AQ106="2",BH106,0)</f>
        <v>0</v>
      </c>
      <c r="AG106" s="30">
        <f>IF(AQ106="2",BI106,0)</f>
        <v>0</v>
      </c>
      <c r="AH106" s="30">
        <f>IF(AQ106="0",BJ106,0)</f>
        <v>0</v>
      </c>
      <c r="AI106" s="57" t="s">
        <v>60</v>
      </c>
      <c r="AJ106" s="48">
        <f>IF(AN106=0,K106,0)</f>
        <v>0</v>
      </c>
      <c r="AK106" s="48">
        <f>IF(AN106=15,K106,0)</f>
        <v>0</v>
      </c>
      <c r="AL106" s="48">
        <f>IF(AN106=21,K106,0)</f>
        <v>0</v>
      </c>
      <c r="AN106" s="30">
        <v>21</v>
      </c>
      <c r="AO106" s="30">
        <f>H106*0.0492151227061685</f>
        <v>0</v>
      </c>
      <c r="AP106" s="30">
        <f>H106*(1-0.0492151227061685)</f>
        <v>0</v>
      </c>
      <c r="AQ106" s="58" t="s">
        <v>92</v>
      </c>
      <c r="AV106" s="30">
        <f>AW106+AX106</f>
        <v>0</v>
      </c>
      <c r="AW106" s="30">
        <f>G106*AO106</f>
        <v>0</v>
      </c>
      <c r="AX106" s="30">
        <f>G106*AP106</f>
        <v>0</v>
      </c>
      <c r="AY106" s="61" t="s">
        <v>449</v>
      </c>
      <c r="AZ106" s="61" t="s">
        <v>466</v>
      </c>
      <c r="BA106" s="57" t="s">
        <v>475</v>
      </c>
      <c r="BC106" s="30">
        <f>AW106+AX106</f>
        <v>0</v>
      </c>
      <c r="BD106" s="30">
        <f>H106/(100-BE106)*100</f>
        <v>0</v>
      </c>
      <c r="BE106" s="30">
        <v>0</v>
      </c>
      <c r="BF106" s="30">
        <f>106</f>
        <v>106</v>
      </c>
      <c r="BH106" s="48">
        <f>G106*AO106</f>
        <v>0</v>
      </c>
      <c r="BI106" s="48">
        <f>G106*AP106</f>
        <v>0</v>
      </c>
      <c r="BJ106" s="48">
        <f>G106*H106</f>
        <v>0</v>
      </c>
    </row>
    <row r="107" spans="1:62" x14ac:dyDescent="0.2">
      <c r="C107" s="135" t="s">
        <v>311</v>
      </c>
      <c r="D107" s="136"/>
      <c r="E107" s="136"/>
      <c r="G107" s="49">
        <v>14</v>
      </c>
    </row>
    <row r="108" spans="1:62" x14ac:dyDescent="0.2">
      <c r="A108" s="38" t="s">
        <v>124</v>
      </c>
      <c r="B108" s="38" t="s">
        <v>209</v>
      </c>
      <c r="C108" s="131" t="s">
        <v>338</v>
      </c>
      <c r="D108" s="132"/>
      <c r="E108" s="132"/>
      <c r="F108" s="38" t="s">
        <v>423</v>
      </c>
      <c r="G108" s="48">
        <v>0.02</v>
      </c>
      <c r="H108" s="148">
        <v>0</v>
      </c>
      <c r="I108" s="148">
        <f>G108*AO108</f>
        <v>0</v>
      </c>
      <c r="J108" s="148">
        <f>G108*AP108</f>
        <v>0</v>
      </c>
      <c r="K108" s="48">
        <f>G108*H108</f>
        <v>0</v>
      </c>
      <c r="L108" s="58" t="s">
        <v>434</v>
      </c>
      <c r="Z108" s="30">
        <f>IF(AQ108="5",BJ108,0)</f>
        <v>0</v>
      </c>
      <c r="AB108" s="30">
        <f>IF(AQ108="1",BH108,0)</f>
        <v>0</v>
      </c>
      <c r="AC108" s="30">
        <f>IF(AQ108="1",BI108,0)</f>
        <v>0</v>
      </c>
      <c r="AD108" s="30">
        <f>IF(AQ108="7",BH108,0)</f>
        <v>0</v>
      </c>
      <c r="AE108" s="30">
        <f>IF(AQ108="7",BI108,0)</f>
        <v>0</v>
      </c>
      <c r="AF108" s="30">
        <f>IF(AQ108="2",BH108,0)</f>
        <v>0</v>
      </c>
      <c r="AG108" s="30">
        <f>IF(AQ108="2",BI108,0)</f>
        <v>0</v>
      </c>
      <c r="AH108" s="30">
        <f>IF(AQ108="0",BJ108,0)</f>
        <v>0</v>
      </c>
      <c r="AI108" s="57" t="s">
        <v>60</v>
      </c>
      <c r="AJ108" s="48">
        <f>IF(AN108=0,K108,0)</f>
        <v>0</v>
      </c>
      <c r="AK108" s="48">
        <f>IF(AN108=15,K108,0)</f>
        <v>0</v>
      </c>
      <c r="AL108" s="48">
        <f>IF(AN108=21,K108,0)</f>
        <v>0</v>
      </c>
      <c r="AN108" s="30">
        <v>21</v>
      </c>
      <c r="AO108" s="30">
        <f>H108*0</f>
        <v>0</v>
      </c>
      <c r="AP108" s="30">
        <f>H108*(1-0)</f>
        <v>0</v>
      </c>
      <c r="AQ108" s="58" t="s">
        <v>92</v>
      </c>
      <c r="AV108" s="30">
        <f>AW108+AX108</f>
        <v>0</v>
      </c>
      <c r="AW108" s="30">
        <f>G108*AO108</f>
        <v>0</v>
      </c>
      <c r="AX108" s="30">
        <f>G108*AP108</f>
        <v>0</v>
      </c>
      <c r="AY108" s="61" t="s">
        <v>449</v>
      </c>
      <c r="AZ108" s="61" t="s">
        <v>466</v>
      </c>
      <c r="BA108" s="57" t="s">
        <v>475</v>
      </c>
      <c r="BC108" s="30">
        <f>AW108+AX108</f>
        <v>0</v>
      </c>
      <c r="BD108" s="30">
        <f>H108/(100-BE108)*100</f>
        <v>0</v>
      </c>
      <c r="BE108" s="30">
        <v>0</v>
      </c>
      <c r="BF108" s="30">
        <f>108</f>
        <v>108</v>
      </c>
      <c r="BH108" s="48">
        <f>G108*AO108</f>
        <v>0</v>
      </c>
      <c r="BI108" s="48">
        <f>G108*AP108</f>
        <v>0</v>
      </c>
      <c r="BJ108" s="48">
        <f>G108*H108</f>
        <v>0</v>
      </c>
    </row>
    <row r="109" spans="1:62" x14ac:dyDescent="0.2">
      <c r="C109" s="135" t="s">
        <v>339</v>
      </c>
      <c r="D109" s="136"/>
      <c r="E109" s="136"/>
      <c r="G109" s="49">
        <v>0.02</v>
      </c>
    </row>
    <row r="110" spans="1:62" x14ac:dyDescent="0.2">
      <c r="B110" s="45" t="s">
        <v>168</v>
      </c>
      <c r="C110" s="137" t="s">
        <v>302</v>
      </c>
      <c r="D110" s="138"/>
      <c r="E110" s="138"/>
      <c r="F110" s="138"/>
      <c r="G110" s="138"/>
      <c r="H110" s="138"/>
      <c r="I110" s="138"/>
      <c r="J110" s="138"/>
      <c r="K110" s="138"/>
      <c r="L110" s="138"/>
    </row>
    <row r="111" spans="1:62" x14ac:dyDescent="0.2">
      <c r="A111" s="37"/>
      <c r="B111" s="44" t="s">
        <v>210</v>
      </c>
      <c r="C111" s="129" t="s">
        <v>340</v>
      </c>
      <c r="D111" s="130"/>
      <c r="E111" s="130"/>
      <c r="F111" s="37" t="s">
        <v>58</v>
      </c>
      <c r="G111" s="37" t="s">
        <v>58</v>
      </c>
      <c r="H111" s="37" t="s">
        <v>58</v>
      </c>
      <c r="I111" s="63">
        <f>SUM(I112:I128)</f>
        <v>0</v>
      </c>
      <c r="J111" s="63">
        <f>SUM(J112:J128)</f>
        <v>0</v>
      </c>
      <c r="K111" s="63">
        <f>SUM(K112:K128)</f>
        <v>0</v>
      </c>
      <c r="L111" s="57"/>
      <c r="AI111" s="57" t="s">
        <v>60</v>
      </c>
      <c r="AS111" s="63">
        <f>SUM(AJ112:AJ128)</f>
        <v>0</v>
      </c>
      <c r="AT111" s="63">
        <f>SUM(AK112:AK128)</f>
        <v>0</v>
      </c>
      <c r="AU111" s="63">
        <f>SUM(AL112:AL128)</f>
        <v>0</v>
      </c>
    </row>
    <row r="112" spans="1:62" x14ac:dyDescent="0.2">
      <c r="A112" s="38" t="s">
        <v>125</v>
      </c>
      <c r="B112" s="38" t="s">
        <v>211</v>
      </c>
      <c r="C112" s="131" t="s">
        <v>341</v>
      </c>
      <c r="D112" s="132"/>
      <c r="E112" s="132"/>
      <c r="F112" s="38" t="s">
        <v>424</v>
      </c>
      <c r="G112" s="48">
        <v>2</v>
      </c>
      <c r="H112" s="148">
        <v>0</v>
      </c>
      <c r="I112" s="148">
        <f>G112*AO112</f>
        <v>0</v>
      </c>
      <c r="J112" s="148">
        <f>G112*AP112</f>
        <v>0</v>
      </c>
      <c r="K112" s="48">
        <f>G112*H112</f>
        <v>0</v>
      </c>
      <c r="L112" s="58" t="s">
        <v>434</v>
      </c>
      <c r="Z112" s="30">
        <f>IF(AQ112="5",BJ112,0)</f>
        <v>0</v>
      </c>
      <c r="AB112" s="30">
        <f>IF(AQ112="1",BH112,0)</f>
        <v>0</v>
      </c>
      <c r="AC112" s="30">
        <f>IF(AQ112="1",BI112,0)</f>
        <v>0</v>
      </c>
      <c r="AD112" s="30">
        <f>IF(AQ112="7",BH112,0)</f>
        <v>0</v>
      </c>
      <c r="AE112" s="30">
        <f>IF(AQ112="7",BI112,0)</f>
        <v>0</v>
      </c>
      <c r="AF112" s="30">
        <f>IF(AQ112="2",BH112,0)</f>
        <v>0</v>
      </c>
      <c r="AG112" s="30">
        <f>IF(AQ112="2",BI112,0)</f>
        <v>0</v>
      </c>
      <c r="AH112" s="30">
        <f>IF(AQ112="0",BJ112,0)</f>
        <v>0</v>
      </c>
      <c r="AI112" s="57" t="s">
        <v>60</v>
      </c>
      <c r="AJ112" s="48">
        <f>IF(AN112=0,K112,0)</f>
        <v>0</v>
      </c>
      <c r="AK112" s="48">
        <f>IF(AN112=15,K112,0)</f>
        <v>0</v>
      </c>
      <c r="AL112" s="48">
        <f>IF(AN112=21,K112,0)</f>
        <v>0</v>
      </c>
      <c r="AN112" s="30">
        <v>21</v>
      </c>
      <c r="AO112" s="30">
        <f>H112*0.957611983163261</f>
        <v>0</v>
      </c>
      <c r="AP112" s="30">
        <f>H112*(1-0.957611983163261)</f>
        <v>0</v>
      </c>
      <c r="AQ112" s="58" t="s">
        <v>92</v>
      </c>
      <c r="AV112" s="30">
        <f>AW112+AX112</f>
        <v>0</v>
      </c>
      <c r="AW112" s="30">
        <f>G112*AO112</f>
        <v>0</v>
      </c>
      <c r="AX112" s="30">
        <f>G112*AP112</f>
        <v>0</v>
      </c>
      <c r="AY112" s="61" t="s">
        <v>450</v>
      </c>
      <c r="AZ112" s="61" t="s">
        <v>466</v>
      </c>
      <c r="BA112" s="57" t="s">
        <v>475</v>
      </c>
      <c r="BC112" s="30">
        <f>AW112+AX112</f>
        <v>0</v>
      </c>
      <c r="BD112" s="30">
        <f>H112/(100-BE112)*100</f>
        <v>0</v>
      </c>
      <c r="BE112" s="30">
        <v>0</v>
      </c>
      <c r="BF112" s="30">
        <f>112</f>
        <v>112</v>
      </c>
      <c r="BH112" s="48">
        <f>G112*AO112</f>
        <v>0</v>
      </c>
      <c r="BI112" s="48">
        <f>G112*AP112</f>
        <v>0</v>
      </c>
      <c r="BJ112" s="48">
        <f>G112*H112</f>
        <v>0</v>
      </c>
    </row>
    <row r="113" spans="1:62" x14ac:dyDescent="0.2">
      <c r="B113" s="45" t="s">
        <v>166</v>
      </c>
      <c r="C113" s="133" t="s">
        <v>342</v>
      </c>
      <c r="D113" s="134"/>
      <c r="E113" s="134"/>
      <c r="F113" s="134"/>
      <c r="G113" s="134"/>
      <c r="H113" s="134"/>
      <c r="I113" s="134"/>
      <c r="J113" s="134"/>
      <c r="K113" s="134"/>
      <c r="L113" s="134"/>
    </row>
    <row r="114" spans="1:62" x14ac:dyDescent="0.2">
      <c r="C114" s="135" t="s">
        <v>320</v>
      </c>
      <c r="D114" s="136"/>
      <c r="E114" s="136"/>
      <c r="G114" s="49">
        <v>2</v>
      </c>
    </row>
    <row r="115" spans="1:62" ht="77.099999999999994" customHeight="1" x14ac:dyDescent="0.2">
      <c r="B115" s="45" t="s">
        <v>168</v>
      </c>
      <c r="C115" s="137" t="s">
        <v>343</v>
      </c>
      <c r="D115" s="138"/>
      <c r="E115" s="138"/>
      <c r="F115" s="138"/>
      <c r="G115" s="138"/>
      <c r="H115" s="138"/>
      <c r="I115" s="138"/>
      <c r="J115" s="138"/>
      <c r="K115" s="138"/>
      <c r="L115" s="138"/>
    </row>
    <row r="116" spans="1:62" x14ac:dyDescent="0.2">
      <c r="A116" s="38" t="s">
        <v>126</v>
      </c>
      <c r="B116" s="38" t="s">
        <v>212</v>
      </c>
      <c r="C116" s="131" t="s">
        <v>344</v>
      </c>
      <c r="D116" s="132"/>
      <c r="E116" s="132"/>
      <c r="F116" s="38" t="s">
        <v>421</v>
      </c>
      <c r="G116" s="48">
        <v>3</v>
      </c>
      <c r="H116" s="148">
        <v>0</v>
      </c>
      <c r="I116" s="148">
        <f>G116*AO116</f>
        <v>0</v>
      </c>
      <c r="J116" s="148">
        <f>G116*AP116</f>
        <v>0</v>
      </c>
      <c r="K116" s="48">
        <f>G116*H116</f>
        <v>0</v>
      </c>
      <c r="L116" s="58" t="s">
        <v>434</v>
      </c>
      <c r="Z116" s="30">
        <f>IF(AQ116="5",BJ116,0)</f>
        <v>0</v>
      </c>
      <c r="AB116" s="30">
        <f>IF(AQ116="1",BH116,0)</f>
        <v>0</v>
      </c>
      <c r="AC116" s="30">
        <f>IF(AQ116="1",BI116,0)</f>
        <v>0</v>
      </c>
      <c r="AD116" s="30">
        <f>IF(AQ116="7",BH116,0)</f>
        <v>0</v>
      </c>
      <c r="AE116" s="30">
        <f>IF(AQ116="7",BI116,0)</f>
        <v>0</v>
      </c>
      <c r="AF116" s="30">
        <f>IF(AQ116="2",BH116,0)</f>
        <v>0</v>
      </c>
      <c r="AG116" s="30">
        <f>IF(AQ116="2",BI116,0)</f>
        <v>0</v>
      </c>
      <c r="AH116" s="30">
        <f>IF(AQ116="0",BJ116,0)</f>
        <v>0</v>
      </c>
      <c r="AI116" s="57" t="s">
        <v>60</v>
      </c>
      <c r="AJ116" s="48">
        <f>IF(AN116=0,K116,0)</f>
        <v>0</v>
      </c>
      <c r="AK116" s="48">
        <f>IF(AN116=15,K116,0)</f>
        <v>0</v>
      </c>
      <c r="AL116" s="48">
        <f>IF(AN116=21,K116,0)</f>
        <v>0</v>
      </c>
      <c r="AN116" s="30">
        <v>21</v>
      </c>
      <c r="AO116" s="30">
        <f>H116*0.755884960934232</f>
        <v>0</v>
      </c>
      <c r="AP116" s="30">
        <f>H116*(1-0.755884960934232)</f>
        <v>0</v>
      </c>
      <c r="AQ116" s="58" t="s">
        <v>92</v>
      </c>
      <c r="AV116" s="30">
        <f>AW116+AX116</f>
        <v>0</v>
      </c>
      <c r="AW116" s="30">
        <f>G116*AO116</f>
        <v>0</v>
      </c>
      <c r="AX116" s="30">
        <f>G116*AP116</f>
        <v>0</v>
      </c>
      <c r="AY116" s="61" t="s">
        <v>450</v>
      </c>
      <c r="AZ116" s="61" t="s">
        <v>466</v>
      </c>
      <c r="BA116" s="57" t="s">
        <v>475</v>
      </c>
      <c r="BC116" s="30">
        <f>AW116+AX116</f>
        <v>0</v>
      </c>
      <c r="BD116" s="30">
        <f>H116/(100-BE116)*100</f>
        <v>0</v>
      </c>
      <c r="BE116" s="30">
        <v>0</v>
      </c>
      <c r="BF116" s="30">
        <f>116</f>
        <v>116</v>
      </c>
      <c r="BH116" s="48">
        <f>G116*AO116</f>
        <v>0</v>
      </c>
      <c r="BI116" s="48">
        <f>G116*AP116</f>
        <v>0</v>
      </c>
      <c r="BJ116" s="48">
        <f>G116*H116</f>
        <v>0</v>
      </c>
    </row>
    <row r="117" spans="1:62" ht="38.450000000000003" customHeight="1" x14ac:dyDescent="0.2">
      <c r="B117" s="45" t="s">
        <v>166</v>
      </c>
      <c r="C117" s="133" t="s">
        <v>345</v>
      </c>
      <c r="D117" s="134"/>
      <c r="E117" s="134"/>
      <c r="F117" s="134"/>
      <c r="G117" s="134"/>
      <c r="H117" s="134"/>
      <c r="I117" s="134"/>
      <c r="J117" s="134"/>
      <c r="K117" s="134"/>
      <c r="L117" s="134"/>
    </row>
    <row r="118" spans="1:62" x14ac:dyDescent="0.2">
      <c r="C118" s="135" t="s">
        <v>282</v>
      </c>
      <c r="D118" s="136"/>
      <c r="E118" s="136"/>
      <c r="G118" s="49">
        <v>3</v>
      </c>
    </row>
    <row r="119" spans="1:62" x14ac:dyDescent="0.2">
      <c r="A119" s="38" t="s">
        <v>127</v>
      </c>
      <c r="B119" s="38" t="s">
        <v>213</v>
      </c>
      <c r="C119" s="131" t="s">
        <v>346</v>
      </c>
      <c r="D119" s="132"/>
      <c r="E119" s="132"/>
      <c r="F119" s="38" t="s">
        <v>421</v>
      </c>
      <c r="G119" s="48">
        <v>3</v>
      </c>
      <c r="H119" s="148">
        <v>0</v>
      </c>
      <c r="I119" s="148">
        <f>G119*AO119</f>
        <v>0</v>
      </c>
      <c r="J119" s="148">
        <f>G119*AP119</f>
        <v>0</v>
      </c>
      <c r="K119" s="48">
        <f>G119*H119</f>
        <v>0</v>
      </c>
      <c r="L119" s="58" t="s">
        <v>434</v>
      </c>
      <c r="Z119" s="30">
        <f>IF(AQ119="5",BJ119,0)</f>
        <v>0</v>
      </c>
      <c r="AB119" s="30">
        <f>IF(AQ119="1",BH119,0)</f>
        <v>0</v>
      </c>
      <c r="AC119" s="30">
        <f>IF(AQ119="1",BI119,0)</f>
        <v>0</v>
      </c>
      <c r="AD119" s="30">
        <f>IF(AQ119="7",BH119,0)</f>
        <v>0</v>
      </c>
      <c r="AE119" s="30">
        <f>IF(AQ119="7",BI119,0)</f>
        <v>0</v>
      </c>
      <c r="AF119" s="30">
        <f>IF(AQ119="2",BH119,0)</f>
        <v>0</v>
      </c>
      <c r="AG119" s="30">
        <f>IF(AQ119="2",BI119,0)</f>
        <v>0</v>
      </c>
      <c r="AH119" s="30">
        <f>IF(AQ119="0",BJ119,0)</f>
        <v>0</v>
      </c>
      <c r="AI119" s="57" t="s">
        <v>60</v>
      </c>
      <c r="AJ119" s="48">
        <f>IF(AN119=0,K119,0)</f>
        <v>0</v>
      </c>
      <c r="AK119" s="48">
        <f>IF(AN119=15,K119,0)</f>
        <v>0</v>
      </c>
      <c r="AL119" s="48">
        <f>IF(AN119=21,K119,0)</f>
        <v>0</v>
      </c>
      <c r="AN119" s="30">
        <v>21</v>
      </c>
      <c r="AO119" s="30">
        <f>H119*0.871109986274834</f>
        <v>0</v>
      </c>
      <c r="AP119" s="30">
        <f>H119*(1-0.871109986274834)</f>
        <v>0</v>
      </c>
      <c r="AQ119" s="58" t="s">
        <v>92</v>
      </c>
      <c r="AV119" s="30">
        <f>AW119+AX119</f>
        <v>0</v>
      </c>
      <c r="AW119" s="30">
        <f>G119*AO119</f>
        <v>0</v>
      </c>
      <c r="AX119" s="30">
        <f>G119*AP119</f>
        <v>0</v>
      </c>
      <c r="AY119" s="61" t="s">
        <v>450</v>
      </c>
      <c r="AZ119" s="61" t="s">
        <v>466</v>
      </c>
      <c r="BA119" s="57" t="s">
        <v>475</v>
      </c>
      <c r="BC119" s="30">
        <f>AW119+AX119</f>
        <v>0</v>
      </c>
      <c r="BD119" s="30">
        <f>H119/(100-BE119)*100</f>
        <v>0</v>
      </c>
      <c r="BE119" s="30">
        <v>0</v>
      </c>
      <c r="BF119" s="30">
        <f>119</f>
        <v>119</v>
      </c>
      <c r="BH119" s="48">
        <f>G119*AO119</f>
        <v>0</v>
      </c>
      <c r="BI119" s="48">
        <f>G119*AP119</f>
        <v>0</v>
      </c>
      <c r="BJ119" s="48">
        <f>G119*H119</f>
        <v>0</v>
      </c>
    </row>
    <row r="120" spans="1:62" x14ac:dyDescent="0.2">
      <c r="C120" s="135" t="s">
        <v>282</v>
      </c>
      <c r="D120" s="136"/>
      <c r="E120" s="136"/>
      <c r="G120" s="49">
        <v>3</v>
      </c>
    </row>
    <row r="121" spans="1:62" ht="38.450000000000003" customHeight="1" x14ac:dyDescent="0.2">
      <c r="B121" s="45" t="s">
        <v>168</v>
      </c>
      <c r="C121" s="137" t="s">
        <v>347</v>
      </c>
      <c r="D121" s="138"/>
      <c r="E121" s="138"/>
      <c r="F121" s="138"/>
      <c r="G121" s="138"/>
      <c r="H121" s="138"/>
      <c r="I121" s="138"/>
      <c r="J121" s="138"/>
      <c r="K121" s="138"/>
      <c r="L121" s="138"/>
    </row>
    <row r="122" spans="1:62" x14ac:dyDescent="0.2">
      <c r="A122" s="38" t="s">
        <v>128</v>
      </c>
      <c r="B122" s="38" t="s">
        <v>214</v>
      </c>
      <c r="C122" s="131" t="s">
        <v>348</v>
      </c>
      <c r="D122" s="132"/>
      <c r="E122" s="132"/>
      <c r="F122" s="38" t="s">
        <v>424</v>
      </c>
      <c r="G122" s="48">
        <v>2</v>
      </c>
      <c r="H122" s="148">
        <v>0</v>
      </c>
      <c r="I122" s="148">
        <f>G122*AO122</f>
        <v>0</v>
      </c>
      <c r="J122" s="148">
        <f>G122*AP122</f>
        <v>0</v>
      </c>
      <c r="K122" s="48">
        <f>G122*H122</f>
        <v>0</v>
      </c>
      <c r="L122" s="58" t="s">
        <v>434</v>
      </c>
      <c r="Z122" s="30">
        <f>IF(AQ122="5",BJ122,0)</f>
        <v>0</v>
      </c>
      <c r="AB122" s="30">
        <f>IF(AQ122="1",BH122,0)</f>
        <v>0</v>
      </c>
      <c r="AC122" s="30">
        <f>IF(AQ122="1",BI122,0)</f>
        <v>0</v>
      </c>
      <c r="AD122" s="30">
        <f>IF(AQ122="7",BH122,0)</f>
        <v>0</v>
      </c>
      <c r="AE122" s="30">
        <f>IF(AQ122="7",BI122,0)</f>
        <v>0</v>
      </c>
      <c r="AF122" s="30">
        <f>IF(AQ122="2",BH122,0)</f>
        <v>0</v>
      </c>
      <c r="AG122" s="30">
        <f>IF(AQ122="2",BI122,0)</f>
        <v>0</v>
      </c>
      <c r="AH122" s="30">
        <f>IF(AQ122="0",BJ122,0)</f>
        <v>0</v>
      </c>
      <c r="AI122" s="57" t="s">
        <v>60</v>
      </c>
      <c r="AJ122" s="48">
        <f>IF(AN122=0,K122,0)</f>
        <v>0</v>
      </c>
      <c r="AK122" s="48">
        <f>IF(AN122=15,K122,0)</f>
        <v>0</v>
      </c>
      <c r="AL122" s="48">
        <f>IF(AN122=21,K122,0)</f>
        <v>0</v>
      </c>
      <c r="AN122" s="30">
        <v>21</v>
      </c>
      <c r="AO122" s="30">
        <f>H122*0</f>
        <v>0</v>
      </c>
      <c r="AP122" s="30">
        <f>H122*(1-0)</f>
        <v>0</v>
      </c>
      <c r="AQ122" s="58" t="s">
        <v>92</v>
      </c>
      <c r="AV122" s="30">
        <f>AW122+AX122</f>
        <v>0</v>
      </c>
      <c r="AW122" s="30">
        <f>G122*AO122</f>
        <v>0</v>
      </c>
      <c r="AX122" s="30">
        <f>G122*AP122</f>
        <v>0</v>
      </c>
      <c r="AY122" s="61" t="s">
        <v>450</v>
      </c>
      <c r="AZ122" s="61" t="s">
        <v>466</v>
      </c>
      <c r="BA122" s="57" t="s">
        <v>475</v>
      </c>
      <c r="BC122" s="30">
        <f>AW122+AX122</f>
        <v>0</v>
      </c>
      <c r="BD122" s="30">
        <f>H122/(100-BE122)*100</f>
        <v>0</v>
      </c>
      <c r="BE122" s="30">
        <v>0</v>
      </c>
      <c r="BF122" s="30">
        <f>122</f>
        <v>122</v>
      </c>
      <c r="BH122" s="48">
        <f>G122*AO122</f>
        <v>0</v>
      </c>
      <c r="BI122" s="48">
        <f>G122*AP122</f>
        <v>0</v>
      </c>
      <c r="BJ122" s="48">
        <f>G122*H122</f>
        <v>0</v>
      </c>
    </row>
    <row r="123" spans="1:62" x14ac:dyDescent="0.2">
      <c r="C123" s="135" t="s">
        <v>320</v>
      </c>
      <c r="D123" s="136"/>
      <c r="E123" s="136"/>
      <c r="G123" s="49">
        <v>2</v>
      </c>
    </row>
    <row r="124" spans="1:62" x14ac:dyDescent="0.2">
      <c r="A124" s="38" t="s">
        <v>129</v>
      </c>
      <c r="B124" s="38" t="s">
        <v>215</v>
      </c>
      <c r="C124" s="131" t="s">
        <v>349</v>
      </c>
      <c r="D124" s="132"/>
      <c r="E124" s="132"/>
      <c r="F124" s="38" t="s">
        <v>421</v>
      </c>
      <c r="G124" s="48">
        <v>3</v>
      </c>
      <c r="H124" s="148">
        <v>0</v>
      </c>
      <c r="I124" s="148">
        <f>G124*AO124</f>
        <v>0</v>
      </c>
      <c r="J124" s="148">
        <f>G124*AP124</f>
        <v>0</v>
      </c>
      <c r="K124" s="48">
        <f>G124*H124</f>
        <v>0</v>
      </c>
      <c r="L124" s="58" t="s">
        <v>434</v>
      </c>
      <c r="Z124" s="30">
        <f>IF(AQ124="5",BJ124,0)</f>
        <v>0</v>
      </c>
      <c r="AB124" s="30">
        <f>IF(AQ124="1",BH124,0)</f>
        <v>0</v>
      </c>
      <c r="AC124" s="30">
        <f>IF(AQ124="1",BI124,0)</f>
        <v>0</v>
      </c>
      <c r="AD124" s="30">
        <f>IF(AQ124="7",BH124,0)</f>
        <v>0</v>
      </c>
      <c r="AE124" s="30">
        <f>IF(AQ124="7",BI124,0)</f>
        <v>0</v>
      </c>
      <c r="AF124" s="30">
        <f>IF(AQ124="2",BH124,0)</f>
        <v>0</v>
      </c>
      <c r="AG124" s="30">
        <f>IF(AQ124="2",BI124,0)</f>
        <v>0</v>
      </c>
      <c r="AH124" s="30">
        <f>IF(AQ124="0",BJ124,0)</f>
        <v>0</v>
      </c>
      <c r="AI124" s="57" t="s">
        <v>60</v>
      </c>
      <c r="AJ124" s="48">
        <f>IF(AN124=0,K124,0)</f>
        <v>0</v>
      </c>
      <c r="AK124" s="48">
        <f>IF(AN124=15,K124,0)</f>
        <v>0</v>
      </c>
      <c r="AL124" s="48">
        <f>IF(AN124=21,K124,0)</f>
        <v>0</v>
      </c>
      <c r="AN124" s="30">
        <v>21</v>
      </c>
      <c r="AO124" s="30">
        <f>H124*0</f>
        <v>0</v>
      </c>
      <c r="AP124" s="30">
        <f>H124*(1-0)</f>
        <v>0</v>
      </c>
      <c r="AQ124" s="58" t="s">
        <v>92</v>
      </c>
      <c r="AV124" s="30">
        <f>AW124+AX124</f>
        <v>0</v>
      </c>
      <c r="AW124" s="30">
        <f>G124*AO124</f>
        <v>0</v>
      </c>
      <c r="AX124" s="30">
        <f>G124*AP124</f>
        <v>0</v>
      </c>
      <c r="AY124" s="61" t="s">
        <v>450</v>
      </c>
      <c r="AZ124" s="61" t="s">
        <v>466</v>
      </c>
      <c r="BA124" s="57" t="s">
        <v>475</v>
      </c>
      <c r="BC124" s="30">
        <f>AW124+AX124</f>
        <v>0</v>
      </c>
      <c r="BD124" s="30">
        <f>H124/(100-BE124)*100</f>
        <v>0</v>
      </c>
      <c r="BE124" s="30">
        <v>0</v>
      </c>
      <c r="BF124" s="30">
        <f>124</f>
        <v>124</v>
      </c>
      <c r="BH124" s="48">
        <f>G124*AO124</f>
        <v>0</v>
      </c>
      <c r="BI124" s="48">
        <f>G124*AP124</f>
        <v>0</v>
      </c>
      <c r="BJ124" s="48">
        <f>G124*H124</f>
        <v>0</v>
      </c>
    </row>
    <row r="125" spans="1:62" x14ac:dyDescent="0.2">
      <c r="C125" s="135" t="s">
        <v>282</v>
      </c>
      <c r="D125" s="136"/>
      <c r="E125" s="136"/>
      <c r="G125" s="49">
        <v>3</v>
      </c>
    </row>
    <row r="126" spans="1:62" x14ac:dyDescent="0.2">
      <c r="A126" s="38" t="s">
        <v>130</v>
      </c>
      <c r="B126" s="38" t="s">
        <v>216</v>
      </c>
      <c r="C126" s="131" t="s">
        <v>350</v>
      </c>
      <c r="D126" s="132"/>
      <c r="E126" s="132"/>
      <c r="F126" s="38" t="s">
        <v>421</v>
      </c>
      <c r="G126" s="48">
        <v>3</v>
      </c>
      <c r="H126" s="148">
        <v>0</v>
      </c>
      <c r="I126" s="148">
        <f>G126*AO126</f>
        <v>0</v>
      </c>
      <c r="J126" s="148">
        <f>G126*AP126</f>
        <v>0</v>
      </c>
      <c r="K126" s="48">
        <f>G126*H126</f>
        <v>0</v>
      </c>
      <c r="L126" s="58" t="s">
        <v>434</v>
      </c>
      <c r="Z126" s="30">
        <f>IF(AQ126="5",BJ126,0)</f>
        <v>0</v>
      </c>
      <c r="AB126" s="30">
        <f>IF(AQ126="1",BH126,0)</f>
        <v>0</v>
      </c>
      <c r="AC126" s="30">
        <f>IF(AQ126="1",BI126,0)</f>
        <v>0</v>
      </c>
      <c r="AD126" s="30">
        <f>IF(AQ126="7",BH126,0)</f>
        <v>0</v>
      </c>
      <c r="AE126" s="30">
        <f>IF(AQ126="7",BI126,0)</f>
        <v>0</v>
      </c>
      <c r="AF126" s="30">
        <f>IF(AQ126="2",BH126,0)</f>
        <v>0</v>
      </c>
      <c r="AG126" s="30">
        <f>IF(AQ126="2",BI126,0)</f>
        <v>0</v>
      </c>
      <c r="AH126" s="30">
        <f>IF(AQ126="0",BJ126,0)</f>
        <v>0</v>
      </c>
      <c r="AI126" s="57" t="s">
        <v>60</v>
      </c>
      <c r="AJ126" s="48">
        <f>IF(AN126=0,K126,0)</f>
        <v>0</v>
      </c>
      <c r="AK126" s="48">
        <f>IF(AN126=15,K126,0)</f>
        <v>0</v>
      </c>
      <c r="AL126" s="48">
        <f>IF(AN126=21,K126,0)</f>
        <v>0</v>
      </c>
      <c r="AN126" s="30">
        <v>21</v>
      </c>
      <c r="AO126" s="30">
        <f>H126*0</f>
        <v>0</v>
      </c>
      <c r="AP126" s="30">
        <f>H126*(1-0)</f>
        <v>0</v>
      </c>
      <c r="AQ126" s="58" t="s">
        <v>92</v>
      </c>
      <c r="AV126" s="30">
        <f>AW126+AX126</f>
        <v>0</v>
      </c>
      <c r="AW126" s="30">
        <f>G126*AO126</f>
        <v>0</v>
      </c>
      <c r="AX126" s="30">
        <f>G126*AP126</f>
        <v>0</v>
      </c>
      <c r="AY126" s="61" t="s">
        <v>450</v>
      </c>
      <c r="AZ126" s="61" t="s">
        <v>466</v>
      </c>
      <c r="BA126" s="57" t="s">
        <v>475</v>
      </c>
      <c r="BC126" s="30">
        <f>AW126+AX126</f>
        <v>0</v>
      </c>
      <c r="BD126" s="30">
        <f>H126/(100-BE126)*100</f>
        <v>0</v>
      </c>
      <c r="BE126" s="30">
        <v>0</v>
      </c>
      <c r="BF126" s="30">
        <f>126</f>
        <v>126</v>
      </c>
      <c r="BH126" s="48">
        <f>G126*AO126</f>
        <v>0</v>
      </c>
      <c r="BI126" s="48">
        <f>G126*AP126</f>
        <v>0</v>
      </c>
      <c r="BJ126" s="48">
        <f>G126*H126</f>
        <v>0</v>
      </c>
    </row>
    <row r="127" spans="1:62" x14ac:dyDescent="0.2">
      <c r="C127" s="135" t="s">
        <v>282</v>
      </c>
      <c r="D127" s="136"/>
      <c r="E127" s="136"/>
      <c r="G127" s="49">
        <v>3</v>
      </c>
    </row>
    <row r="128" spans="1:62" x14ac:dyDescent="0.2">
      <c r="A128" s="38" t="s">
        <v>131</v>
      </c>
      <c r="B128" s="38" t="s">
        <v>217</v>
      </c>
      <c r="C128" s="131" t="s">
        <v>351</v>
      </c>
      <c r="D128" s="132"/>
      <c r="E128" s="132"/>
      <c r="F128" s="38" t="s">
        <v>424</v>
      </c>
      <c r="G128" s="48">
        <v>9</v>
      </c>
      <c r="H128" s="148">
        <v>0</v>
      </c>
      <c r="I128" s="148">
        <f>G128*AO128</f>
        <v>0</v>
      </c>
      <c r="J128" s="148">
        <f>G128*AP128</f>
        <v>0</v>
      </c>
      <c r="K128" s="48">
        <f>G128*H128</f>
        <v>0</v>
      </c>
      <c r="L128" s="58" t="s">
        <v>434</v>
      </c>
      <c r="Z128" s="30">
        <f>IF(AQ128="5",BJ128,0)</f>
        <v>0</v>
      </c>
      <c r="AB128" s="30">
        <f>IF(AQ128="1",BH128,0)</f>
        <v>0</v>
      </c>
      <c r="AC128" s="30">
        <f>IF(AQ128="1",BI128,0)</f>
        <v>0</v>
      </c>
      <c r="AD128" s="30">
        <f>IF(AQ128="7",BH128,0)</f>
        <v>0</v>
      </c>
      <c r="AE128" s="30">
        <f>IF(AQ128="7",BI128,0)</f>
        <v>0</v>
      </c>
      <c r="AF128" s="30">
        <f>IF(AQ128="2",BH128,0)</f>
        <v>0</v>
      </c>
      <c r="AG128" s="30">
        <f>IF(AQ128="2",BI128,0)</f>
        <v>0</v>
      </c>
      <c r="AH128" s="30">
        <f>IF(AQ128="0",BJ128,0)</f>
        <v>0</v>
      </c>
      <c r="AI128" s="57" t="s">
        <v>60</v>
      </c>
      <c r="AJ128" s="48">
        <f>IF(AN128=0,K128,0)</f>
        <v>0</v>
      </c>
      <c r="AK128" s="48">
        <f>IF(AN128=15,K128,0)</f>
        <v>0</v>
      </c>
      <c r="AL128" s="48">
        <f>IF(AN128=21,K128,0)</f>
        <v>0</v>
      </c>
      <c r="AN128" s="30">
        <v>21</v>
      </c>
      <c r="AO128" s="30">
        <f>H128*0.740204341070672</f>
        <v>0</v>
      </c>
      <c r="AP128" s="30">
        <f>H128*(1-0.740204341070672)</f>
        <v>0</v>
      </c>
      <c r="AQ128" s="58" t="s">
        <v>92</v>
      </c>
      <c r="AV128" s="30">
        <f>AW128+AX128</f>
        <v>0</v>
      </c>
      <c r="AW128" s="30">
        <f>G128*AO128</f>
        <v>0</v>
      </c>
      <c r="AX128" s="30">
        <f>G128*AP128</f>
        <v>0</v>
      </c>
      <c r="AY128" s="61" t="s">
        <v>450</v>
      </c>
      <c r="AZ128" s="61" t="s">
        <v>466</v>
      </c>
      <c r="BA128" s="57" t="s">
        <v>475</v>
      </c>
      <c r="BC128" s="30">
        <f>AW128+AX128</f>
        <v>0</v>
      </c>
      <c r="BD128" s="30">
        <f>H128/(100-BE128)*100</f>
        <v>0</v>
      </c>
      <c r="BE128" s="30">
        <v>0</v>
      </c>
      <c r="BF128" s="30">
        <f>128</f>
        <v>128</v>
      </c>
      <c r="BH128" s="48">
        <f>G128*AO128</f>
        <v>0</v>
      </c>
      <c r="BI128" s="48">
        <f>G128*AP128</f>
        <v>0</v>
      </c>
      <c r="BJ128" s="48">
        <f>G128*H128</f>
        <v>0</v>
      </c>
    </row>
    <row r="129" spans="1:62" x14ac:dyDescent="0.2">
      <c r="C129" s="135" t="s">
        <v>305</v>
      </c>
      <c r="D129" s="136"/>
      <c r="E129" s="136"/>
      <c r="G129" s="49">
        <v>9</v>
      </c>
    </row>
    <row r="130" spans="1:62" x14ac:dyDescent="0.2">
      <c r="A130" s="37"/>
      <c r="B130" s="44" t="s">
        <v>218</v>
      </c>
      <c r="C130" s="129" t="s">
        <v>352</v>
      </c>
      <c r="D130" s="130"/>
      <c r="E130" s="130"/>
      <c r="F130" s="37" t="s">
        <v>58</v>
      </c>
      <c r="G130" s="37" t="s">
        <v>58</v>
      </c>
      <c r="H130" s="37" t="s">
        <v>58</v>
      </c>
      <c r="I130" s="63">
        <f>SUM(I131:I131)</f>
        <v>0</v>
      </c>
      <c r="J130" s="63">
        <f>SUM(J131:J131)</f>
        <v>0</v>
      </c>
      <c r="K130" s="63">
        <f>SUM(K131:K131)</f>
        <v>0</v>
      </c>
      <c r="L130" s="57"/>
      <c r="AI130" s="57" t="s">
        <v>60</v>
      </c>
      <c r="AS130" s="63">
        <f>SUM(AJ131:AJ131)</f>
        <v>0</v>
      </c>
      <c r="AT130" s="63">
        <f>SUM(AK131:AK131)</f>
        <v>0</v>
      </c>
      <c r="AU130" s="63">
        <f>SUM(AL131:AL131)</f>
        <v>0</v>
      </c>
    </row>
    <row r="131" spans="1:62" x14ac:dyDescent="0.2">
      <c r="A131" s="38" t="s">
        <v>132</v>
      </c>
      <c r="B131" s="38" t="s">
        <v>219</v>
      </c>
      <c r="C131" s="131" t="s">
        <v>353</v>
      </c>
      <c r="D131" s="132"/>
      <c r="E131" s="132"/>
      <c r="F131" s="38" t="s">
        <v>425</v>
      </c>
      <c r="G131" s="48">
        <v>1</v>
      </c>
      <c r="H131" s="148">
        <v>0</v>
      </c>
      <c r="I131" s="148">
        <f>G131*AO131</f>
        <v>0</v>
      </c>
      <c r="J131" s="148">
        <f>G131*AP131</f>
        <v>0</v>
      </c>
      <c r="K131" s="48">
        <f>G131*H131</f>
        <v>0</v>
      </c>
      <c r="L131" s="58" t="s">
        <v>434</v>
      </c>
      <c r="Z131" s="30">
        <f>IF(AQ131="5",BJ131,0)</f>
        <v>0</v>
      </c>
      <c r="AB131" s="30">
        <f>IF(AQ131="1",BH131,0)</f>
        <v>0</v>
      </c>
      <c r="AC131" s="30">
        <f>IF(AQ131="1",BI131,0)</f>
        <v>0</v>
      </c>
      <c r="AD131" s="30">
        <f>IF(AQ131="7",BH131,0)</f>
        <v>0</v>
      </c>
      <c r="AE131" s="30">
        <f>IF(AQ131="7",BI131,0)</f>
        <v>0</v>
      </c>
      <c r="AF131" s="30">
        <f>IF(AQ131="2",BH131,0)</f>
        <v>0</v>
      </c>
      <c r="AG131" s="30">
        <f>IF(AQ131="2",BI131,0)</f>
        <v>0</v>
      </c>
      <c r="AH131" s="30">
        <f>IF(AQ131="0",BJ131,0)</f>
        <v>0</v>
      </c>
      <c r="AI131" s="57" t="s">
        <v>60</v>
      </c>
      <c r="AJ131" s="48">
        <f>IF(AN131=0,K131,0)</f>
        <v>0</v>
      </c>
      <c r="AK131" s="48">
        <f>IF(AN131=15,K131,0)</f>
        <v>0</v>
      </c>
      <c r="AL131" s="48">
        <f>IF(AN131=21,K131,0)</f>
        <v>0</v>
      </c>
      <c r="AN131" s="30">
        <v>21</v>
      </c>
      <c r="AO131" s="30">
        <f>H131*0</f>
        <v>0</v>
      </c>
      <c r="AP131" s="30">
        <f>H131*(1-0)</f>
        <v>0</v>
      </c>
      <c r="AQ131" s="58" t="s">
        <v>87</v>
      </c>
      <c r="AV131" s="30">
        <f>AW131+AX131</f>
        <v>0</v>
      </c>
      <c r="AW131" s="30">
        <f>G131*AO131</f>
        <v>0</v>
      </c>
      <c r="AX131" s="30">
        <f>G131*AP131</f>
        <v>0</v>
      </c>
      <c r="AY131" s="61" t="s">
        <v>451</v>
      </c>
      <c r="AZ131" s="61" t="s">
        <v>467</v>
      </c>
      <c r="BA131" s="57" t="s">
        <v>475</v>
      </c>
      <c r="BC131" s="30">
        <f>AW131+AX131</f>
        <v>0</v>
      </c>
      <c r="BD131" s="30">
        <f>H131/(100-BE131)*100</f>
        <v>0</v>
      </c>
      <c r="BE131" s="30">
        <v>0</v>
      </c>
      <c r="BF131" s="30">
        <f>131</f>
        <v>131</v>
      </c>
      <c r="BH131" s="48">
        <f>G131*AO131</f>
        <v>0</v>
      </c>
      <c r="BI131" s="48">
        <f>G131*AP131</f>
        <v>0</v>
      </c>
      <c r="BJ131" s="48">
        <f>G131*H131</f>
        <v>0</v>
      </c>
    </row>
    <row r="132" spans="1:62" x14ac:dyDescent="0.2">
      <c r="C132" s="135" t="s">
        <v>309</v>
      </c>
      <c r="D132" s="136"/>
      <c r="E132" s="136"/>
      <c r="G132" s="49">
        <v>1</v>
      </c>
    </row>
    <row r="133" spans="1:62" x14ac:dyDescent="0.2">
      <c r="A133" s="37"/>
      <c r="B133" s="44" t="s">
        <v>220</v>
      </c>
      <c r="C133" s="129" t="s">
        <v>354</v>
      </c>
      <c r="D133" s="130"/>
      <c r="E133" s="130"/>
      <c r="F133" s="37" t="s">
        <v>58</v>
      </c>
      <c r="G133" s="37" t="s">
        <v>58</v>
      </c>
      <c r="H133" s="37" t="s">
        <v>58</v>
      </c>
      <c r="I133" s="63">
        <f>SUM(I134:I134)</f>
        <v>0</v>
      </c>
      <c r="J133" s="63">
        <f>SUM(J134:J134)</f>
        <v>0</v>
      </c>
      <c r="K133" s="63">
        <f>SUM(K134:K134)</f>
        <v>0</v>
      </c>
      <c r="L133" s="57"/>
      <c r="AI133" s="57" t="s">
        <v>60</v>
      </c>
      <c r="AS133" s="63">
        <f>SUM(AJ134:AJ134)</f>
        <v>0</v>
      </c>
      <c r="AT133" s="63">
        <f>SUM(AK134:AK134)</f>
        <v>0</v>
      </c>
      <c r="AU133" s="63">
        <f>SUM(AL134:AL134)</f>
        <v>0</v>
      </c>
    </row>
    <row r="134" spans="1:62" x14ac:dyDescent="0.2">
      <c r="A134" s="38" t="s">
        <v>133</v>
      </c>
      <c r="B134" s="38" t="s">
        <v>221</v>
      </c>
      <c r="C134" s="131" t="s">
        <v>355</v>
      </c>
      <c r="D134" s="132"/>
      <c r="E134" s="132"/>
      <c r="F134" s="38" t="s">
        <v>426</v>
      </c>
      <c r="G134" s="48">
        <v>10</v>
      </c>
      <c r="H134" s="148">
        <v>0</v>
      </c>
      <c r="I134" s="148">
        <f>G134*AO134</f>
        <v>0</v>
      </c>
      <c r="J134" s="148">
        <f>G134*AP134</f>
        <v>0</v>
      </c>
      <c r="K134" s="48">
        <f>G134*H134</f>
        <v>0</v>
      </c>
      <c r="L134" s="58" t="s">
        <v>434</v>
      </c>
      <c r="Z134" s="30">
        <f>IF(AQ134="5",BJ134,0)</f>
        <v>0</v>
      </c>
      <c r="AB134" s="30">
        <f>IF(AQ134="1",BH134,0)</f>
        <v>0</v>
      </c>
      <c r="AC134" s="30">
        <f>IF(AQ134="1",BI134,0)</f>
        <v>0</v>
      </c>
      <c r="AD134" s="30">
        <f>IF(AQ134="7",BH134,0)</f>
        <v>0</v>
      </c>
      <c r="AE134" s="30">
        <f>IF(AQ134="7",BI134,0)</f>
        <v>0</v>
      </c>
      <c r="AF134" s="30">
        <f>IF(AQ134="2",BH134,0)</f>
        <v>0</v>
      </c>
      <c r="AG134" s="30">
        <f>IF(AQ134="2",BI134,0)</f>
        <v>0</v>
      </c>
      <c r="AH134" s="30">
        <f>IF(AQ134="0",BJ134,0)</f>
        <v>0</v>
      </c>
      <c r="AI134" s="57" t="s">
        <v>60</v>
      </c>
      <c r="AJ134" s="48">
        <f>IF(AN134=0,K134,0)</f>
        <v>0</v>
      </c>
      <c r="AK134" s="48">
        <f>IF(AN134=15,K134,0)</f>
        <v>0</v>
      </c>
      <c r="AL134" s="48">
        <f>IF(AN134=21,K134,0)</f>
        <v>0</v>
      </c>
      <c r="AN134" s="30">
        <v>21</v>
      </c>
      <c r="AO134" s="30">
        <f>H134*0</f>
        <v>0</v>
      </c>
      <c r="AP134" s="30">
        <f>H134*(1-0)</f>
        <v>0</v>
      </c>
      <c r="AQ134" s="58" t="s">
        <v>87</v>
      </c>
      <c r="AV134" s="30">
        <f>AW134+AX134</f>
        <v>0</v>
      </c>
      <c r="AW134" s="30">
        <f>G134*AO134</f>
        <v>0</v>
      </c>
      <c r="AX134" s="30">
        <f>G134*AP134</f>
        <v>0</v>
      </c>
      <c r="AY134" s="61" t="s">
        <v>452</v>
      </c>
      <c r="AZ134" s="61" t="s">
        <v>468</v>
      </c>
      <c r="BA134" s="57" t="s">
        <v>475</v>
      </c>
      <c r="BC134" s="30">
        <f>AW134+AX134</f>
        <v>0</v>
      </c>
      <c r="BD134" s="30">
        <f>H134/(100-BE134)*100</f>
        <v>0</v>
      </c>
      <c r="BE134" s="30">
        <v>0</v>
      </c>
      <c r="BF134" s="30">
        <f>134</f>
        <v>134</v>
      </c>
      <c r="BH134" s="48">
        <f>G134*AO134</f>
        <v>0</v>
      </c>
      <c r="BI134" s="48">
        <f>G134*AP134</f>
        <v>0</v>
      </c>
      <c r="BJ134" s="48">
        <f>G134*H134</f>
        <v>0</v>
      </c>
    </row>
    <row r="135" spans="1:62" x14ac:dyDescent="0.2">
      <c r="C135" s="135" t="s">
        <v>327</v>
      </c>
      <c r="D135" s="136"/>
      <c r="E135" s="136"/>
      <c r="G135" s="49">
        <v>10</v>
      </c>
    </row>
    <row r="136" spans="1:62" ht="64.150000000000006" customHeight="1" x14ac:dyDescent="0.2">
      <c r="B136" s="45" t="s">
        <v>168</v>
      </c>
      <c r="C136" s="137" t="s">
        <v>356</v>
      </c>
      <c r="D136" s="138"/>
      <c r="E136" s="138"/>
      <c r="F136" s="138"/>
      <c r="G136" s="138"/>
      <c r="H136" s="138"/>
      <c r="I136" s="138"/>
      <c r="J136" s="138"/>
      <c r="K136" s="138"/>
      <c r="L136" s="138"/>
    </row>
    <row r="137" spans="1:62" ht="51.4" customHeight="1" x14ac:dyDescent="0.2">
      <c r="C137" s="137" t="s">
        <v>357</v>
      </c>
      <c r="D137" s="138"/>
      <c r="E137" s="138"/>
      <c r="F137" s="138"/>
      <c r="G137" s="138"/>
      <c r="H137" s="138"/>
      <c r="I137" s="138"/>
      <c r="J137" s="138"/>
      <c r="K137" s="138"/>
      <c r="L137" s="138"/>
    </row>
    <row r="138" spans="1:62" x14ac:dyDescent="0.2">
      <c r="A138" s="37"/>
      <c r="B138" s="44" t="s">
        <v>222</v>
      </c>
      <c r="C138" s="129" t="s">
        <v>358</v>
      </c>
      <c r="D138" s="130"/>
      <c r="E138" s="130"/>
      <c r="F138" s="37" t="s">
        <v>58</v>
      </c>
      <c r="G138" s="37" t="s">
        <v>58</v>
      </c>
      <c r="H138" s="37" t="s">
        <v>58</v>
      </c>
      <c r="I138" s="63">
        <f>SUM(I139:I142)</f>
        <v>0</v>
      </c>
      <c r="J138" s="63">
        <f>SUM(J139:J142)</f>
        <v>0</v>
      </c>
      <c r="K138" s="63">
        <f>SUM(K139:K142)</f>
        <v>0</v>
      </c>
      <c r="L138" s="57"/>
      <c r="AI138" s="57" t="s">
        <v>60</v>
      </c>
      <c r="AS138" s="63">
        <f>SUM(AJ139:AJ142)</f>
        <v>0</v>
      </c>
      <c r="AT138" s="63">
        <f>SUM(AK139:AK142)</f>
        <v>0</v>
      </c>
      <c r="AU138" s="63">
        <f>SUM(AL139:AL142)</f>
        <v>0</v>
      </c>
    </row>
    <row r="139" spans="1:62" x14ac:dyDescent="0.2">
      <c r="A139" s="38" t="s">
        <v>134</v>
      </c>
      <c r="B139" s="38" t="s">
        <v>223</v>
      </c>
      <c r="C139" s="131" t="s">
        <v>359</v>
      </c>
      <c r="D139" s="132"/>
      <c r="E139" s="132"/>
      <c r="F139" s="38" t="s">
        <v>422</v>
      </c>
      <c r="G139" s="48">
        <v>11</v>
      </c>
      <c r="H139" s="148">
        <v>0</v>
      </c>
      <c r="I139" s="148">
        <f>G139*AO139</f>
        <v>0</v>
      </c>
      <c r="J139" s="148">
        <f>G139*AP139</f>
        <v>0</v>
      </c>
      <c r="K139" s="48">
        <f>G139*H139</f>
        <v>0</v>
      </c>
      <c r="L139" s="58" t="s">
        <v>434</v>
      </c>
      <c r="Z139" s="30">
        <f>IF(AQ139="5",BJ139,0)</f>
        <v>0</v>
      </c>
      <c r="AB139" s="30">
        <f>IF(AQ139="1",BH139,0)</f>
        <v>0</v>
      </c>
      <c r="AC139" s="30">
        <f>IF(AQ139="1",BI139,0)</f>
        <v>0</v>
      </c>
      <c r="AD139" s="30">
        <f>IF(AQ139="7",BH139,0)</f>
        <v>0</v>
      </c>
      <c r="AE139" s="30">
        <f>IF(AQ139="7",BI139,0)</f>
        <v>0</v>
      </c>
      <c r="AF139" s="30">
        <f>IF(AQ139="2",BH139,0)</f>
        <v>0</v>
      </c>
      <c r="AG139" s="30">
        <f>IF(AQ139="2",BI139,0)</f>
        <v>0</v>
      </c>
      <c r="AH139" s="30">
        <f>IF(AQ139="0",BJ139,0)</f>
        <v>0</v>
      </c>
      <c r="AI139" s="57" t="s">
        <v>60</v>
      </c>
      <c r="AJ139" s="48">
        <f>IF(AN139=0,K139,0)</f>
        <v>0</v>
      </c>
      <c r="AK139" s="48">
        <f>IF(AN139=15,K139,0)</f>
        <v>0</v>
      </c>
      <c r="AL139" s="48">
        <f>IF(AN139=21,K139,0)</f>
        <v>0</v>
      </c>
      <c r="AN139" s="30">
        <v>21</v>
      </c>
      <c r="AO139" s="30">
        <f>H139*0.0470833333333333</f>
        <v>0</v>
      </c>
      <c r="AP139" s="30">
        <f>H139*(1-0.0470833333333333)</f>
        <v>0</v>
      </c>
      <c r="AQ139" s="58" t="s">
        <v>87</v>
      </c>
      <c r="AV139" s="30">
        <f>AW139+AX139</f>
        <v>0</v>
      </c>
      <c r="AW139" s="30">
        <f>G139*AO139</f>
        <v>0</v>
      </c>
      <c r="AX139" s="30">
        <f>G139*AP139</f>
        <v>0</v>
      </c>
      <c r="AY139" s="61" t="s">
        <v>453</v>
      </c>
      <c r="AZ139" s="61" t="s">
        <v>468</v>
      </c>
      <c r="BA139" s="57" t="s">
        <v>475</v>
      </c>
      <c r="BC139" s="30">
        <f>AW139+AX139</f>
        <v>0</v>
      </c>
      <c r="BD139" s="30">
        <f>H139/(100-BE139)*100</f>
        <v>0</v>
      </c>
      <c r="BE139" s="30">
        <v>0</v>
      </c>
      <c r="BF139" s="30">
        <f>139</f>
        <v>139</v>
      </c>
      <c r="BH139" s="48">
        <f>G139*AO139</f>
        <v>0</v>
      </c>
      <c r="BI139" s="48">
        <f>G139*AP139</f>
        <v>0</v>
      </c>
      <c r="BJ139" s="48">
        <f>G139*H139</f>
        <v>0</v>
      </c>
    </row>
    <row r="140" spans="1:62" x14ac:dyDescent="0.2">
      <c r="C140" s="135" t="s">
        <v>313</v>
      </c>
      <c r="D140" s="136"/>
      <c r="E140" s="136"/>
      <c r="G140" s="49">
        <v>11</v>
      </c>
    </row>
    <row r="141" spans="1:62" x14ac:dyDescent="0.2">
      <c r="B141" s="45" t="s">
        <v>168</v>
      </c>
      <c r="C141" s="137" t="s">
        <v>360</v>
      </c>
      <c r="D141" s="138"/>
      <c r="E141" s="138"/>
      <c r="F141" s="138"/>
      <c r="G141" s="138"/>
      <c r="H141" s="138"/>
      <c r="I141" s="138"/>
      <c r="J141" s="138"/>
      <c r="K141" s="138"/>
      <c r="L141" s="138"/>
    </row>
    <row r="142" spans="1:62" x14ac:dyDescent="0.2">
      <c r="A142" s="38" t="s">
        <v>135</v>
      </c>
      <c r="B142" s="38" t="s">
        <v>224</v>
      </c>
      <c r="C142" s="131" t="s">
        <v>361</v>
      </c>
      <c r="D142" s="132"/>
      <c r="E142" s="132"/>
      <c r="F142" s="38" t="s">
        <v>423</v>
      </c>
      <c r="G142" s="48">
        <v>0.71</v>
      </c>
      <c r="H142" s="148">
        <v>0</v>
      </c>
      <c r="I142" s="148">
        <f>G142*AO142</f>
        <v>0</v>
      </c>
      <c r="J142" s="148">
        <f>G142*AP142</f>
        <v>0</v>
      </c>
      <c r="K142" s="48">
        <f>G142*H142</f>
        <v>0</v>
      </c>
      <c r="L142" s="58" t="s">
        <v>434</v>
      </c>
      <c r="Z142" s="30">
        <f>IF(AQ142="5",BJ142,0)</f>
        <v>0</v>
      </c>
      <c r="AB142" s="30">
        <f>IF(AQ142="1",BH142,0)</f>
        <v>0</v>
      </c>
      <c r="AC142" s="30">
        <f>IF(AQ142="1",BI142,0)</f>
        <v>0</v>
      </c>
      <c r="AD142" s="30">
        <f>IF(AQ142="7",BH142,0)</f>
        <v>0</v>
      </c>
      <c r="AE142" s="30">
        <f>IF(AQ142="7",BI142,0)</f>
        <v>0</v>
      </c>
      <c r="AF142" s="30">
        <f>IF(AQ142="2",BH142,0)</f>
        <v>0</v>
      </c>
      <c r="AG142" s="30">
        <f>IF(AQ142="2",BI142,0)</f>
        <v>0</v>
      </c>
      <c r="AH142" s="30">
        <f>IF(AQ142="0",BJ142,0)</f>
        <v>0</v>
      </c>
      <c r="AI142" s="57" t="s">
        <v>60</v>
      </c>
      <c r="AJ142" s="48">
        <f>IF(AN142=0,K142,0)</f>
        <v>0</v>
      </c>
      <c r="AK142" s="48">
        <f>IF(AN142=15,K142,0)</f>
        <v>0</v>
      </c>
      <c r="AL142" s="48">
        <f>IF(AN142=21,K142,0)</f>
        <v>0</v>
      </c>
      <c r="AN142" s="30">
        <v>21</v>
      </c>
      <c r="AO142" s="30">
        <f>H142*0</f>
        <v>0</v>
      </c>
      <c r="AP142" s="30">
        <f>H142*(1-0)</f>
        <v>0</v>
      </c>
      <c r="AQ142" s="58" t="s">
        <v>87</v>
      </c>
      <c r="AV142" s="30">
        <f>AW142+AX142</f>
        <v>0</v>
      </c>
      <c r="AW142" s="30">
        <f>G142*AO142</f>
        <v>0</v>
      </c>
      <c r="AX142" s="30">
        <f>G142*AP142</f>
        <v>0</v>
      </c>
      <c r="AY142" s="61" t="s">
        <v>453</v>
      </c>
      <c r="AZ142" s="61" t="s">
        <v>468</v>
      </c>
      <c r="BA142" s="57" t="s">
        <v>475</v>
      </c>
      <c r="BC142" s="30">
        <f>AW142+AX142</f>
        <v>0</v>
      </c>
      <c r="BD142" s="30">
        <f>H142/(100-BE142)*100</f>
        <v>0</v>
      </c>
      <c r="BE142" s="30">
        <v>0</v>
      </c>
      <c r="BF142" s="30">
        <f>142</f>
        <v>142</v>
      </c>
      <c r="BH142" s="48">
        <f>G142*AO142</f>
        <v>0</v>
      </c>
      <c r="BI142" s="48">
        <f>G142*AP142</f>
        <v>0</v>
      </c>
      <c r="BJ142" s="48">
        <f>G142*H142</f>
        <v>0</v>
      </c>
    </row>
    <row r="143" spans="1:62" x14ac:dyDescent="0.2">
      <c r="C143" s="135" t="s">
        <v>362</v>
      </c>
      <c r="D143" s="136"/>
      <c r="E143" s="136"/>
      <c r="G143" s="49">
        <v>0.71</v>
      </c>
    </row>
    <row r="144" spans="1:62" x14ac:dyDescent="0.2">
      <c r="A144" s="37"/>
      <c r="B144" s="44" t="s">
        <v>225</v>
      </c>
      <c r="C144" s="129" t="s">
        <v>278</v>
      </c>
      <c r="D144" s="130"/>
      <c r="E144" s="130"/>
      <c r="F144" s="37" t="s">
        <v>58</v>
      </c>
      <c r="G144" s="37" t="s">
        <v>58</v>
      </c>
      <c r="H144" s="37" t="s">
        <v>58</v>
      </c>
      <c r="I144" s="63">
        <f>SUM(I145:I145)</f>
        <v>0</v>
      </c>
      <c r="J144" s="63">
        <f>SUM(J145:J145)</f>
        <v>0</v>
      </c>
      <c r="K144" s="63">
        <f>SUM(K145:K145)</f>
        <v>0</v>
      </c>
      <c r="L144" s="57"/>
      <c r="AI144" s="57" t="s">
        <v>60</v>
      </c>
      <c r="AS144" s="63">
        <f>SUM(AJ145:AJ145)</f>
        <v>0</v>
      </c>
      <c r="AT144" s="63">
        <f>SUM(AK145:AK145)</f>
        <v>0</v>
      </c>
      <c r="AU144" s="63">
        <f>SUM(AL145:AL145)</f>
        <v>0</v>
      </c>
    </row>
    <row r="145" spans="1:62" x14ac:dyDescent="0.2">
      <c r="A145" s="38" t="s">
        <v>136</v>
      </c>
      <c r="B145" s="38" t="s">
        <v>226</v>
      </c>
      <c r="C145" s="131" t="s">
        <v>363</v>
      </c>
      <c r="D145" s="132"/>
      <c r="E145" s="132"/>
      <c r="F145" s="38" t="s">
        <v>423</v>
      </c>
      <c r="G145" s="48">
        <v>0.11</v>
      </c>
      <c r="H145" s="148">
        <v>0</v>
      </c>
      <c r="I145" s="148">
        <f>G145*AO145</f>
        <v>0</v>
      </c>
      <c r="J145" s="148">
        <f>G145*AP145</f>
        <v>0</v>
      </c>
      <c r="K145" s="48">
        <f>G145*H145</f>
        <v>0</v>
      </c>
      <c r="L145" s="58" t="s">
        <v>434</v>
      </c>
      <c r="Z145" s="30">
        <f>IF(AQ145="5",BJ145,0)</f>
        <v>0</v>
      </c>
      <c r="AB145" s="30">
        <f>IF(AQ145="1",BH145,0)</f>
        <v>0</v>
      </c>
      <c r="AC145" s="30">
        <f>IF(AQ145="1",BI145,0)</f>
        <v>0</v>
      </c>
      <c r="AD145" s="30">
        <f>IF(AQ145="7",BH145,0)</f>
        <v>0</v>
      </c>
      <c r="AE145" s="30">
        <f>IF(AQ145="7",BI145,0)</f>
        <v>0</v>
      </c>
      <c r="AF145" s="30">
        <f>IF(AQ145="2",BH145,0)</f>
        <v>0</v>
      </c>
      <c r="AG145" s="30">
        <f>IF(AQ145="2",BI145,0)</f>
        <v>0</v>
      </c>
      <c r="AH145" s="30">
        <f>IF(AQ145="0",BJ145,0)</f>
        <v>0</v>
      </c>
      <c r="AI145" s="57" t="s">
        <v>60</v>
      </c>
      <c r="AJ145" s="48">
        <f>IF(AN145=0,K145,0)</f>
        <v>0</v>
      </c>
      <c r="AK145" s="48">
        <f>IF(AN145=15,K145,0)</f>
        <v>0</v>
      </c>
      <c r="AL145" s="48">
        <f>IF(AN145=21,K145,0)</f>
        <v>0</v>
      </c>
      <c r="AN145" s="30">
        <v>21</v>
      </c>
      <c r="AO145" s="30">
        <f>H145*0</f>
        <v>0</v>
      </c>
      <c r="AP145" s="30">
        <f>H145*(1-0)</f>
        <v>0</v>
      </c>
      <c r="AQ145" s="58" t="s">
        <v>91</v>
      </c>
      <c r="AV145" s="30">
        <f>AW145+AX145</f>
        <v>0</v>
      </c>
      <c r="AW145" s="30">
        <f>G145*AO145</f>
        <v>0</v>
      </c>
      <c r="AX145" s="30">
        <f>G145*AP145</f>
        <v>0</v>
      </c>
      <c r="AY145" s="61" t="s">
        <v>454</v>
      </c>
      <c r="AZ145" s="61" t="s">
        <v>468</v>
      </c>
      <c r="BA145" s="57" t="s">
        <v>475</v>
      </c>
      <c r="BC145" s="30">
        <f>AW145+AX145</f>
        <v>0</v>
      </c>
      <c r="BD145" s="30">
        <f>H145/(100-BE145)*100</f>
        <v>0</v>
      </c>
      <c r="BE145" s="30">
        <v>0</v>
      </c>
      <c r="BF145" s="30">
        <f>145</f>
        <v>145</v>
      </c>
      <c r="BH145" s="48">
        <f>G145*AO145</f>
        <v>0</v>
      </c>
      <c r="BI145" s="48">
        <f>G145*AP145</f>
        <v>0</v>
      </c>
      <c r="BJ145" s="48">
        <f>G145*H145</f>
        <v>0</v>
      </c>
    </row>
    <row r="146" spans="1:62" x14ac:dyDescent="0.2">
      <c r="C146" s="135" t="s">
        <v>364</v>
      </c>
      <c r="D146" s="136"/>
      <c r="E146" s="136"/>
      <c r="G146" s="49">
        <v>0.11</v>
      </c>
    </row>
    <row r="147" spans="1:62" x14ac:dyDescent="0.2">
      <c r="A147" s="37"/>
      <c r="B147" s="44" t="s">
        <v>227</v>
      </c>
      <c r="C147" s="129" t="s">
        <v>306</v>
      </c>
      <c r="D147" s="130"/>
      <c r="E147" s="130"/>
      <c r="F147" s="37" t="s">
        <v>58</v>
      </c>
      <c r="G147" s="37" t="s">
        <v>58</v>
      </c>
      <c r="H147" s="37" t="s">
        <v>58</v>
      </c>
      <c r="I147" s="63">
        <f>SUM(I148:I148)</f>
        <v>0</v>
      </c>
      <c r="J147" s="63">
        <f>SUM(J148:J148)</f>
        <v>0</v>
      </c>
      <c r="K147" s="63">
        <f>SUM(K148:K148)</f>
        <v>0</v>
      </c>
      <c r="L147" s="57"/>
      <c r="AI147" s="57" t="s">
        <v>60</v>
      </c>
      <c r="AS147" s="63">
        <f>SUM(AJ148:AJ148)</f>
        <v>0</v>
      </c>
      <c r="AT147" s="63">
        <f>SUM(AK148:AK148)</f>
        <v>0</v>
      </c>
      <c r="AU147" s="63">
        <f>SUM(AL148:AL148)</f>
        <v>0</v>
      </c>
    </row>
    <row r="148" spans="1:62" x14ac:dyDescent="0.2">
      <c r="A148" s="38" t="s">
        <v>137</v>
      </c>
      <c r="B148" s="38" t="s">
        <v>228</v>
      </c>
      <c r="C148" s="131" t="s">
        <v>365</v>
      </c>
      <c r="D148" s="132"/>
      <c r="E148" s="132"/>
      <c r="F148" s="38" t="s">
        <v>423</v>
      </c>
      <c r="G148" s="48">
        <v>0.03</v>
      </c>
      <c r="H148" s="148">
        <v>0</v>
      </c>
      <c r="I148" s="148">
        <f>G148*AO148</f>
        <v>0</v>
      </c>
      <c r="J148" s="148">
        <f>G148*AP148</f>
        <v>0</v>
      </c>
      <c r="K148" s="48">
        <f>G148*H148</f>
        <v>0</v>
      </c>
      <c r="L148" s="58" t="s">
        <v>434</v>
      </c>
      <c r="Z148" s="30">
        <f>IF(AQ148="5",BJ148,0)</f>
        <v>0</v>
      </c>
      <c r="AB148" s="30">
        <f>IF(AQ148="1",BH148,0)</f>
        <v>0</v>
      </c>
      <c r="AC148" s="30">
        <f>IF(AQ148="1",BI148,0)</f>
        <v>0</v>
      </c>
      <c r="AD148" s="30">
        <f>IF(AQ148="7",BH148,0)</f>
        <v>0</v>
      </c>
      <c r="AE148" s="30">
        <f>IF(AQ148="7",BI148,0)</f>
        <v>0</v>
      </c>
      <c r="AF148" s="30">
        <f>IF(AQ148="2",BH148,0)</f>
        <v>0</v>
      </c>
      <c r="AG148" s="30">
        <f>IF(AQ148="2",BI148,0)</f>
        <v>0</v>
      </c>
      <c r="AH148" s="30">
        <f>IF(AQ148="0",BJ148,0)</f>
        <v>0</v>
      </c>
      <c r="AI148" s="57" t="s">
        <v>60</v>
      </c>
      <c r="AJ148" s="48">
        <f>IF(AN148=0,K148,0)</f>
        <v>0</v>
      </c>
      <c r="AK148" s="48">
        <f>IF(AN148=15,K148,0)</f>
        <v>0</v>
      </c>
      <c r="AL148" s="48">
        <f>IF(AN148=21,K148,0)</f>
        <v>0</v>
      </c>
      <c r="AN148" s="30">
        <v>21</v>
      </c>
      <c r="AO148" s="30">
        <f>H148*0</f>
        <v>0</v>
      </c>
      <c r="AP148" s="30">
        <f>H148*(1-0)</f>
        <v>0</v>
      </c>
      <c r="AQ148" s="58" t="s">
        <v>91</v>
      </c>
      <c r="AV148" s="30">
        <f>AW148+AX148</f>
        <v>0</v>
      </c>
      <c r="AW148" s="30">
        <f>G148*AO148</f>
        <v>0</v>
      </c>
      <c r="AX148" s="30">
        <f>G148*AP148</f>
        <v>0</v>
      </c>
      <c r="AY148" s="61" t="s">
        <v>455</v>
      </c>
      <c r="AZ148" s="61" t="s">
        <v>468</v>
      </c>
      <c r="BA148" s="57" t="s">
        <v>475</v>
      </c>
      <c r="BC148" s="30">
        <f>AW148+AX148</f>
        <v>0</v>
      </c>
      <c r="BD148" s="30">
        <f>H148/(100-BE148)*100</f>
        <v>0</v>
      </c>
      <c r="BE148" s="30">
        <v>0</v>
      </c>
      <c r="BF148" s="30">
        <f>148</f>
        <v>148</v>
      </c>
      <c r="BH148" s="48">
        <f>G148*AO148</f>
        <v>0</v>
      </c>
      <c r="BI148" s="48">
        <f>G148*AP148</f>
        <v>0</v>
      </c>
      <c r="BJ148" s="48">
        <f>G148*H148</f>
        <v>0</v>
      </c>
    </row>
    <row r="149" spans="1:62" x14ac:dyDescent="0.2">
      <c r="C149" s="135" t="s">
        <v>366</v>
      </c>
      <c r="D149" s="136"/>
      <c r="E149" s="136"/>
      <c r="G149" s="49">
        <v>0.03</v>
      </c>
    </row>
    <row r="150" spans="1:62" x14ac:dyDescent="0.2">
      <c r="A150" s="37"/>
      <c r="B150" s="44" t="s">
        <v>229</v>
      </c>
      <c r="C150" s="129" t="s">
        <v>340</v>
      </c>
      <c r="D150" s="130"/>
      <c r="E150" s="130"/>
      <c r="F150" s="37" t="s">
        <v>58</v>
      </c>
      <c r="G150" s="37" t="s">
        <v>58</v>
      </c>
      <c r="H150" s="37" t="s">
        <v>58</v>
      </c>
      <c r="I150" s="63">
        <f>SUM(I151:I151)</f>
        <v>0</v>
      </c>
      <c r="J150" s="63">
        <f>SUM(J151:J151)</f>
        <v>0</v>
      </c>
      <c r="K150" s="63">
        <f>SUM(K151:K151)</f>
        <v>0</v>
      </c>
      <c r="L150" s="57"/>
      <c r="AI150" s="57" t="s">
        <v>60</v>
      </c>
      <c r="AS150" s="63">
        <f>SUM(AJ151:AJ151)</f>
        <v>0</v>
      </c>
      <c r="AT150" s="63">
        <f>SUM(AK151:AK151)</f>
        <v>0</v>
      </c>
      <c r="AU150" s="63">
        <f>SUM(AL151:AL151)</f>
        <v>0</v>
      </c>
    </row>
    <row r="151" spans="1:62" x14ac:dyDescent="0.2">
      <c r="A151" s="38" t="s">
        <v>138</v>
      </c>
      <c r="B151" s="38" t="s">
        <v>230</v>
      </c>
      <c r="C151" s="131" t="s">
        <v>367</v>
      </c>
      <c r="D151" s="132"/>
      <c r="E151" s="132"/>
      <c r="F151" s="38" t="s">
        <v>423</v>
      </c>
      <c r="G151" s="48">
        <v>0.32</v>
      </c>
      <c r="H151" s="148">
        <v>0</v>
      </c>
      <c r="I151" s="148">
        <f>G151*AO151</f>
        <v>0</v>
      </c>
      <c r="J151" s="148">
        <f>G151*AP151</f>
        <v>0</v>
      </c>
      <c r="K151" s="48">
        <f>G151*H151</f>
        <v>0</v>
      </c>
      <c r="L151" s="58" t="s">
        <v>434</v>
      </c>
      <c r="Z151" s="30">
        <f>IF(AQ151="5",BJ151,0)</f>
        <v>0</v>
      </c>
      <c r="AB151" s="30">
        <f>IF(AQ151="1",BH151,0)</f>
        <v>0</v>
      </c>
      <c r="AC151" s="30">
        <f>IF(AQ151="1",BI151,0)</f>
        <v>0</v>
      </c>
      <c r="AD151" s="30">
        <f>IF(AQ151="7",BH151,0)</f>
        <v>0</v>
      </c>
      <c r="AE151" s="30">
        <f>IF(AQ151="7",BI151,0)</f>
        <v>0</v>
      </c>
      <c r="AF151" s="30">
        <f>IF(AQ151="2",BH151,0)</f>
        <v>0</v>
      </c>
      <c r="AG151" s="30">
        <f>IF(AQ151="2",BI151,0)</f>
        <v>0</v>
      </c>
      <c r="AH151" s="30">
        <f>IF(AQ151="0",BJ151,0)</f>
        <v>0</v>
      </c>
      <c r="AI151" s="57" t="s">
        <v>60</v>
      </c>
      <c r="AJ151" s="48">
        <f>IF(AN151=0,K151,0)</f>
        <v>0</v>
      </c>
      <c r="AK151" s="48">
        <f>IF(AN151=15,K151,0)</f>
        <v>0</v>
      </c>
      <c r="AL151" s="48">
        <f>IF(AN151=21,K151,0)</f>
        <v>0</v>
      </c>
      <c r="AN151" s="30">
        <v>21</v>
      </c>
      <c r="AO151" s="30">
        <f>H151*0</f>
        <v>0</v>
      </c>
      <c r="AP151" s="30">
        <f>H151*(1-0)</f>
        <v>0</v>
      </c>
      <c r="AQ151" s="58" t="s">
        <v>91</v>
      </c>
      <c r="AV151" s="30">
        <f>AW151+AX151</f>
        <v>0</v>
      </c>
      <c r="AW151" s="30">
        <f>G151*AO151</f>
        <v>0</v>
      </c>
      <c r="AX151" s="30">
        <f>G151*AP151</f>
        <v>0</v>
      </c>
      <c r="AY151" s="61" t="s">
        <v>456</v>
      </c>
      <c r="AZ151" s="61" t="s">
        <v>468</v>
      </c>
      <c r="BA151" s="57" t="s">
        <v>475</v>
      </c>
      <c r="BC151" s="30">
        <f>AW151+AX151</f>
        <v>0</v>
      </c>
      <c r="BD151" s="30">
        <f>H151/(100-BE151)*100</f>
        <v>0</v>
      </c>
      <c r="BE151" s="30">
        <v>0</v>
      </c>
      <c r="BF151" s="30">
        <f>151</f>
        <v>151</v>
      </c>
      <c r="BH151" s="48">
        <f>G151*AO151</f>
        <v>0</v>
      </c>
      <c r="BI151" s="48">
        <f>G151*AP151</f>
        <v>0</v>
      </c>
      <c r="BJ151" s="48">
        <f>G151*H151</f>
        <v>0</v>
      </c>
    </row>
    <row r="152" spans="1:62" x14ac:dyDescent="0.2">
      <c r="C152" s="135" t="s">
        <v>368</v>
      </c>
      <c r="D152" s="136"/>
      <c r="E152" s="136"/>
      <c r="G152" s="49">
        <v>0.32</v>
      </c>
    </row>
    <row r="153" spans="1:62" x14ac:dyDescent="0.2">
      <c r="A153" s="37"/>
      <c r="B153" s="44" t="s">
        <v>231</v>
      </c>
      <c r="C153" s="129" t="s">
        <v>369</v>
      </c>
      <c r="D153" s="130"/>
      <c r="E153" s="130"/>
      <c r="F153" s="37" t="s">
        <v>58</v>
      </c>
      <c r="G153" s="37" t="s">
        <v>58</v>
      </c>
      <c r="H153" s="37" t="s">
        <v>58</v>
      </c>
      <c r="I153" s="63">
        <f>SUM(I154:I157)</f>
        <v>0</v>
      </c>
      <c r="J153" s="63">
        <f>SUM(J154:J157)</f>
        <v>0</v>
      </c>
      <c r="K153" s="63">
        <f>SUM(K154:K157)</f>
        <v>0</v>
      </c>
      <c r="L153" s="57"/>
      <c r="AI153" s="57" t="s">
        <v>60</v>
      </c>
      <c r="AS153" s="63">
        <f>SUM(AJ154:AJ157)</f>
        <v>0</v>
      </c>
      <c r="AT153" s="63">
        <f>SUM(AK154:AK157)</f>
        <v>0</v>
      </c>
      <c r="AU153" s="63">
        <f>SUM(AL154:AL157)</f>
        <v>0</v>
      </c>
    </row>
    <row r="154" spans="1:62" x14ac:dyDescent="0.2">
      <c r="A154" s="38" t="s">
        <v>139</v>
      </c>
      <c r="B154" s="38" t="s">
        <v>232</v>
      </c>
      <c r="C154" s="131" t="s">
        <v>370</v>
      </c>
      <c r="D154" s="132"/>
      <c r="E154" s="132"/>
      <c r="F154" s="38" t="s">
        <v>423</v>
      </c>
      <c r="G154" s="48">
        <v>0.71</v>
      </c>
      <c r="H154" s="148">
        <v>0</v>
      </c>
      <c r="I154" s="148">
        <f>G154*AO154</f>
        <v>0</v>
      </c>
      <c r="J154" s="148">
        <f>G154*AP154</f>
        <v>0</v>
      </c>
      <c r="K154" s="48">
        <f>G154*H154</f>
        <v>0</v>
      </c>
      <c r="L154" s="58" t="s">
        <v>434</v>
      </c>
      <c r="Z154" s="30">
        <f>IF(AQ154="5",BJ154,0)</f>
        <v>0</v>
      </c>
      <c r="AB154" s="30">
        <f>IF(AQ154="1",BH154,0)</f>
        <v>0</v>
      </c>
      <c r="AC154" s="30">
        <f>IF(AQ154="1",BI154,0)</f>
        <v>0</v>
      </c>
      <c r="AD154" s="30">
        <f>IF(AQ154="7",BH154,0)</f>
        <v>0</v>
      </c>
      <c r="AE154" s="30">
        <f>IF(AQ154="7",BI154,0)</f>
        <v>0</v>
      </c>
      <c r="AF154" s="30">
        <f>IF(AQ154="2",BH154,0)</f>
        <v>0</v>
      </c>
      <c r="AG154" s="30">
        <f>IF(AQ154="2",BI154,0)</f>
        <v>0</v>
      </c>
      <c r="AH154" s="30">
        <f>IF(AQ154="0",BJ154,0)</f>
        <v>0</v>
      </c>
      <c r="AI154" s="57" t="s">
        <v>60</v>
      </c>
      <c r="AJ154" s="48">
        <f>IF(AN154=0,K154,0)</f>
        <v>0</v>
      </c>
      <c r="AK154" s="48">
        <f>IF(AN154=15,K154,0)</f>
        <v>0</v>
      </c>
      <c r="AL154" s="48">
        <f>IF(AN154=21,K154,0)</f>
        <v>0</v>
      </c>
      <c r="AN154" s="30">
        <v>21</v>
      </c>
      <c r="AO154" s="30">
        <f>H154*0</f>
        <v>0</v>
      </c>
      <c r="AP154" s="30">
        <f>H154*(1-0)</f>
        <v>0</v>
      </c>
      <c r="AQ154" s="58" t="s">
        <v>91</v>
      </c>
      <c r="AV154" s="30">
        <f>AW154+AX154</f>
        <v>0</v>
      </c>
      <c r="AW154" s="30">
        <f>G154*AO154</f>
        <v>0</v>
      </c>
      <c r="AX154" s="30">
        <f>G154*AP154</f>
        <v>0</v>
      </c>
      <c r="AY154" s="61" t="s">
        <v>457</v>
      </c>
      <c r="AZ154" s="61" t="s">
        <v>468</v>
      </c>
      <c r="BA154" s="57" t="s">
        <v>475</v>
      </c>
      <c r="BC154" s="30">
        <f>AW154+AX154</f>
        <v>0</v>
      </c>
      <c r="BD154" s="30">
        <f>H154/(100-BE154)*100</f>
        <v>0</v>
      </c>
      <c r="BE154" s="30">
        <v>0</v>
      </c>
      <c r="BF154" s="30">
        <f>154</f>
        <v>154</v>
      </c>
      <c r="BH154" s="48">
        <f>G154*AO154</f>
        <v>0</v>
      </c>
      <c r="BI154" s="48">
        <f>G154*AP154</f>
        <v>0</v>
      </c>
      <c r="BJ154" s="48">
        <f>G154*H154</f>
        <v>0</v>
      </c>
    </row>
    <row r="155" spans="1:62" x14ac:dyDescent="0.2">
      <c r="C155" s="135" t="s">
        <v>371</v>
      </c>
      <c r="D155" s="136"/>
      <c r="E155" s="136"/>
      <c r="G155" s="49">
        <v>0.71</v>
      </c>
    </row>
    <row r="156" spans="1:62" x14ac:dyDescent="0.2">
      <c r="B156" s="45" t="s">
        <v>168</v>
      </c>
      <c r="C156" s="137" t="s">
        <v>372</v>
      </c>
      <c r="D156" s="138"/>
      <c r="E156" s="138"/>
      <c r="F156" s="138"/>
      <c r="G156" s="138"/>
      <c r="H156" s="138"/>
      <c r="I156" s="138"/>
      <c r="J156" s="138"/>
      <c r="K156" s="138"/>
      <c r="L156" s="138"/>
    </row>
    <row r="157" spans="1:62" x14ac:dyDescent="0.2">
      <c r="A157" s="38" t="s">
        <v>140</v>
      </c>
      <c r="B157" s="38" t="s">
        <v>233</v>
      </c>
      <c r="C157" s="131" t="s">
        <v>373</v>
      </c>
      <c r="D157" s="132"/>
      <c r="E157" s="132"/>
      <c r="F157" s="38" t="s">
        <v>423</v>
      </c>
      <c r="G157" s="48">
        <v>0.71</v>
      </c>
      <c r="H157" s="148">
        <v>0</v>
      </c>
      <c r="I157" s="148">
        <f>G157*AO157</f>
        <v>0</v>
      </c>
      <c r="J157" s="148">
        <f>G157*AP157</f>
        <v>0</v>
      </c>
      <c r="K157" s="48">
        <f>G157*H157</f>
        <v>0</v>
      </c>
      <c r="L157" s="58" t="s">
        <v>434</v>
      </c>
      <c r="Z157" s="30">
        <f>IF(AQ157="5",BJ157,0)</f>
        <v>0</v>
      </c>
      <c r="AB157" s="30">
        <f>IF(AQ157="1",BH157,0)</f>
        <v>0</v>
      </c>
      <c r="AC157" s="30">
        <f>IF(AQ157="1",BI157,0)</f>
        <v>0</v>
      </c>
      <c r="AD157" s="30">
        <f>IF(AQ157="7",BH157,0)</f>
        <v>0</v>
      </c>
      <c r="AE157" s="30">
        <f>IF(AQ157="7",BI157,0)</f>
        <v>0</v>
      </c>
      <c r="AF157" s="30">
        <f>IF(AQ157="2",BH157,0)</f>
        <v>0</v>
      </c>
      <c r="AG157" s="30">
        <f>IF(AQ157="2",BI157,0)</f>
        <v>0</v>
      </c>
      <c r="AH157" s="30">
        <f>IF(AQ157="0",BJ157,0)</f>
        <v>0</v>
      </c>
      <c r="AI157" s="57" t="s">
        <v>60</v>
      </c>
      <c r="AJ157" s="48">
        <f>IF(AN157=0,K157,0)</f>
        <v>0</v>
      </c>
      <c r="AK157" s="48">
        <f>IF(AN157=15,K157,0)</f>
        <v>0</v>
      </c>
      <c r="AL157" s="48">
        <f>IF(AN157=21,K157,0)</f>
        <v>0</v>
      </c>
      <c r="AN157" s="30">
        <v>21</v>
      </c>
      <c r="AO157" s="30">
        <f>H157*0</f>
        <v>0</v>
      </c>
      <c r="AP157" s="30">
        <f>H157*(1-0)</f>
        <v>0</v>
      </c>
      <c r="AQ157" s="58" t="s">
        <v>91</v>
      </c>
      <c r="AV157" s="30">
        <f>AW157+AX157</f>
        <v>0</v>
      </c>
      <c r="AW157" s="30">
        <f>G157*AO157</f>
        <v>0</v>
      </c>
      <c r="AX157" s="30">
        <f>G157*AP157</f>
        <v>0</v>
      </c>
      <c r="AY157" s="61" t="s">
        <v>457</v>
      </c>
      <c r="AZ157" s="61" t="s">
        <v>468</v>
      </c>
      <c r="BA157" s="57" t="s">
        <v>475</v>
      </c>
      <c r="BC157" s="30">
        <f>AW157+AX157</f>
        <v>0</v>
      </c>
      <c r="BD157" s="30">
        <f>H157/(100-BE157)*100</f>
        <v>0</v>
      </c>
      <c r="BE157" s="30">
        <v>0</v>
      </c>
      <c r="BF157" s="30">
        <f>157</f>
        <v>157</v>
      </c>
      <c r="BH157" s="48">
        <f>G157*AO157</f>
        <v>0</v>
      </c>
      <c r="BI157" s="48">
        <f>G157*AP157</f>
        <v>0</v>
      </c>
      <c r="BJ157" s="48">
        <f>G157*H157</f>
        <v>0</v>
      </c>
    </row>
    <row r="158" spans="1:62" x14ac:dyDescent="0.2">
      <c r="C158" s="135" t="s">
        <v>371</v>
      </c>
      <c r="D158" s="136"/>
      <c r="E158" s="136"/>
      <c r="G158" s="49">
        <v>0.71</v>
      </c>
    </row>
    <row r="159" spans="1:62" x14ac:dyDescent="0.2">
      <c r="A159" s="37"/>
      <c r="B159" s="44"/>
      <c r="C159" s="129" t="s">
        <v>10</v>
      </c>
      <c r="D159" s="130"/>
      <c r="E159" s="130"/>
      <c r="F159" s="37" t="s">
        <v>58</v>
      </c>
      <c r="G159" s="37" t="s">
        <v>58</v>
      </c>
      <c r="H159" s="37" t="s">
        <v>58</v>
      </c>
      <c r="I159" s="63">
        <f>SUM(I160:I164)</f>
        <v>0</v>
      </c>
      <c r="J159" s="63">
        <f>SUM(J160:J164)</f>
        <v>0</v>
      </c>
      <c r="K159" s="63">
        <f>SUM(K160:K164)</f>
        <v>0</v>
      </c>
      <c r="L159" s="57"/>
      <c r="AI159" s="57" t="s">
        <v>60</v>
      </c>
      <c r="AS159" s="63">
        <f>SUM(AJ160:AJ164)</f>
        <v>0</v>
      </c>
      <c r="AT159" s="63">
        <f>SUM(AK160:AK164)</f>
        <v>0</v>
      </c>
      <c r="AU159" s="63">
        <f>SUM(AL160:AL164)</f>
        <v>0</v>
      </c>
    </row>
    <row r="160" spans="1:62" x14ac:dyDescent="0.2">
      <c r="A160" s="39" t="s">
        <v>141</v>
      </c>
      <c r="B160" s="39" t="s">
        <v>234</v>
      </c>
      <c r="C160" s="139" t="s">
        <v>374</v>
      </c>
      <c r="D160" s="140"/>
      <c r="E160" s="140"/>
      <c r="F160" s="39" t="s">
        <v>421</v>
      </c>
      <c r="G160" s="50">
        <v>2</v>
      </c>
      <c r="H160" s="149">
        <v>0</v>
      </c>
      <c r="I160" s="149">
        <f>G160*AO160</f>
        <v>0</v>
      </c>
      <c r="J160" s="149">
        <f>G160*AP160</f>
        <v>0</v>
      </c>
      <c r="K160" s="50">
        <f>G160*H160</f>
        <v>0</v>
      </c>
      <c r="L160" s="59" t="s">
        <v>434</v>
      </c>
      <c r="Z160" s="30">
        <f>IF(AQ160="5",BJ160,0)</f>
        <v>0</v>
      </c>
      <c r="AB160" s="30">
        <f>IF(AQ160="1",BH160,0)</f>
        <v>0</v>
      </c>
      <c r="AC160" s="30">
        <f>IF(AQ160="1",BI160,0)</f>
        <v>0</v>
      </c>
      <c r="AD160" s="30">
        <f>IF(AQ160="7",BH160,0)</f>
        <v>0</v>
      </c>
      <c r="AE160" s="30">
        <f>IF(AQ160="7",BI160,0)</f>
        <v>0</v>
      </c>
      <c r="AF160" s="30">
        <f>IF(AQ160="2",BH160,0)</f>
        <v>0</v>
      </c>
      <c r="AG160" s="30">
        <f>IF(AQ160="2",BI160,0)</f>
        <v>0</v>
      </c>
      <c r="AH160" s="30">
        <f>IF(AQ160="0",BJ160,0)</f>
        <v>0</v>
      </c>
      <c r="AI160" s="57" t="s">
        <v>60</v>
      </c>
      <c r="AJ160" s="50">
        <f>IF(AN160=0,K160,0)</f>
        <v>0</v>
      </c>
      <c r="AK160" s="50">
        <f>IF(AN160=15,K160,0)</f>
        <v>0</v>
      </c>
      <c r="AL160" s="50">
        <f>IF(AN160=21,K160,0)</f>
        <v>0</v>
      </c>
      <c r="AN160" s="30">
        <v>21</v>
      </c>
      <c r="AO160" s="30">
        <f>H160*1</f>
        <v>0</v>
      </c>
      <c r="AP160" s="30">
        <f>H160*(1-1)</f>
        <v>0</v>
      </c>
      <c r="AQ160" s="59" t="s">
        <v>445</v>
      </c>
      <c r="AV160" s="30">
        <f>AW160+AX160</f>
        <v>0</v>
      </c>
      <c r="AW160" s="30">
        <f>G160*AO160</f>
        <v>0</v>
      </c>
      <c r="AX160" s="30">
        <f>G160*AP160</f>
        <v>0</v>
      </c>
      <c r="AY160" s="61" t="s">
        <v>458</v>
      </c>
      <c r="AZ160" s="61" t="s">
        <v>469</v>
      </c>
      <c r="BA160" s="57" t="s">
        <v>475</v>
      </c>
      <c r="BC160" s="30">
        <f>AW160+AX160</f>
        <v>0</v>
      </c>
      <c r="BD160" s="30">
        <f>H160/(100-BE160)*100</f>
        <v>0</v>
      </c>
      <c r="BE160" s="30">
        <v>0</v>
      </c>
      <c r="BF160" s="30">
        <f>160</f>
        <v>160</v>
      </c>
      <c r="BH160" s="50">
        <f>G160*AO160</f>
        <v>0</v>
      </c>
      <c r="BI160" s="50">
        <f>G160*AP160</f>
        <v>0</v>
      </c>
      <c r="BJ160" s="50">
        <f>G160*H160</f>
        <v>0</v>
      </c>
    </row>
    <row r="161" spans="1:62" x14ac:dyDescent="0.2">
      <c r="C161" s="135" t="s">
        <v>375</v>
      </c>
      <c r="D161" s="136"/>
      <c r="E161" s="136"/>
      <c r="G161" s="49">
        <v>1</v>
      </c>
    </row>
    <row r="162" spans="1:62" x14ac:dyDescent="0.2">
      <c r="C162" s="135" t="s">
        <v>376</v>
      </c>
      <c r="D162" s="136"/>
      <c r="E162" s="136"/>
      <c r="G162" s="49">
        <v>1</v>
      </c>
    </row>
    <row r="163" spans="1:62" x14ac:dyDescent="0.2">
      <c r="B163" s="45" t="s">
        <v>168</v>
      </c>
      <c r="C163" s="137" t="s">
        <v>377</v>
      </c>
      <c r="D163" s="138"/>
      <c r="E163" s="138"/>
      <c r="F163" s="138"/>
      <c r="G163" s="138"/>
      <c r="H163" s="138"/>
      <c r="I163" s="138"/>
      <c r="J163" s="138"/>
      <c r="K163" s="138"/>
      <c r="L163" s="138"/>
    </row>
    <row r="164" spans="1:62" x14ac:dyDescent="0.2">
      <c r="A164" s="39" t="s">
        <v>142</v>
      </c>
      <c r="B164" s="39" t="s">
        <v>235</v>
      </c>
      <c r="C164" s="139" t="s">
        <v>378</v>
      </c>
      <c r="D164" s="140"/>
      <c r="E164" s="140"/>
      <c r="F164" s="39" t="s">
        <v>421</v>
      </c>
      <c r="G164" s="50">
        <v>1</v>
      </c>
      <c r="H164" s="149">
        <v>0</v>
      </c>
      <c r="I164" s="149">
        <f>G164*AO164</f>
        <v>0</v>
      </c>
      <c r="J164" s="149">
        <f>G164*AP164</f>
        <v>0</v>
      </c>
      <c r="K164" s="50">
        <f>G164*H164</f>
        <v>0</v>
      </c>
      <c r="L164" s="59" t="s">
        <v>434</v>
      </c>
      <c r="Z164" s="30">
        <f>IF(AQ164="5",BJ164,0)</f>
        <v>0</v>
      </c>
      <c r="AB164" s="30">
        <f>IF(AQ164="1",BH164,0)</f>
        <v>0</v>
      </c>
      <c r="AC164" s="30">
        <f>IF(AQ164="1",BI164,0)</f>
        <v>0</v>
      </c>
      <c r="AD164" s="30">
        <f>IF(AQ164="7",BH164,0)</f>
        <v>0</v>
      </c>
      <c r="AE164" s="30">
        <f>IF(AQ164="7",BI164,0)</f>
        <v>0</v>
      </c>
      <c r="AF164" s="30">
        <f>IF(AQ164="2",BH164,0)</f>
        <v>0</v>
      </c>
      <c r="AG164" s="30">
        <f>IF(AQ164="2",BI164,0)</f>
        <v>0</v>
      </c>
      <c r="AH164" s="30">
        <f>IF(AQ164="0",BJ164,0)</f>
        <v>0</v>
      </c>
      <c r="AI164" s="57" t="s">
        <v>60</v>
      </c>
      <c r="AJ164" s="50">
        <f>IF(AN164=0,K164,0)</f>
        <v>0</v>
      </c>
      <c r="AK164" s="50">
        <f>IF(AN164=15,K164,0)</f>
        <v>0</v>
      </c>
      <c r="AL164" s="50">
        <f>IF(AN164=21,K164,0)</f>
        <v>0</v>
      </c>
      <c r="AN164" s="30">
        <v>21</v>
      </c>
      <c r="AO164" s="30">
        <f>H164*1</f>
        <v>0</v>
      </c>
      <c r="AP164" s="30">
        <f>H164*(1-1)</f>
        <v>0</v>
      </c>
      <c r="AQ164" s="59" t="s">
        <v>445</v>
      </c>
      <c r="AV164" s="30">
        <f>AW164+AX164</f>
        <v>0</v>
      </c>
      <c r="AW164" s="30">
        <f>G164*AO164</f>
        <v>0</v>
      </c>
      <c r="AX164" s="30">
        <f>G164*AP164</f>
        <v>0</v>
      </c>
      <c r="AY164" s="61" t="s">
        <v>458</v>
      </c>
      <c r="AZ164" s="61" t="s">
        <v>469</v>
      </c>
      <c r="BA164" s="57" t="s">
        <v>475</v>
      </c>
      <c r="BC164" s="30">
        <f>AW164+AX164</f>
        <v>0</v>
      </c>
      <c r="BD164" s="30">
        <f>H164/(100-BE164)*100</f>
        <v>0</v>
      </c>
      <c r="BE164" s="30">
        <v>0</v>
      </c>
      <c r="BF164" s="30">
        <f>164</f>
        <v>164</v>
      </c>
      <c r="BH164" s="50">
        <f>G164*AO164</f>
        <v>0</v>
      </c>
      <c r="BI164" s="50">
        <f>G164*AP164</f>
        <v>0</v>
      </c>
      <c r="BJ164" s="50">
        <f>G164*H164</f>
        <v>0</v>
      </c>
    </row>
    <row r="165" spans="1:62" x14ac:dyDescent="0.2">
      <c r="C165" s="135" t="s">
        <v>309</v>
      </c>
      <c r="D165" s="136"/>
      <c r="E165" s="136"/>
      <c r="G165" s="49">
        <v>1</v>
      </c>
    </row>
    <row r="166" spans="1:62" ht="51.4" customHeight="1" x14ac:dyDescent="0.2">
      <c r="B166" s="45" t="s">
        <v>168</v>
      </c>
      <c r="C166" s="137" t="s">
        <v>379</v>
      </c>
      <c r="D166" s="138"/>
      <c r="E166" s="138"/>
      <c r="F166" s="138"/>
      <c r="G166" s="138"/>
      <c r="H166" s="138"/>
      <c r="I166" s="138"/>
      <c r="J166" s="138"/>
      <c r="K166" s="138"/>
      <c r="L166" s="138"/>
    </row>
    <row r="167" spans="1:62" x14ac:dyDescent="0.2">
      <c r="A167" s="40"/>
      <c r="B167" s="46"/>
      <c r="C167" s="141" t="s">
        <v>64</v>
      </c>
      <c r="D167" s="142"/>
      <c r="E167" s="142"/>
      <c r="F167" s="40" t="s">
        <v>58</v>
      </c>
      <c r="G167" s="40" t="s">
        <v>58</v>
      </c>
      <c r="H167" s="40" t="s">
        <v>58</v>
      </c>
      <c r="I167" s="64">
        <f>I168+I172+I177+I189+I199+I211+I217+I220+I223+I226+I232</f>
        <v>0</v>
      </c>
      <c r="J167" s="64">
        <f>J168+J172+J177+J189+J199+J211+J217+J220+J223+J226+J232</f>
        <v>0</v>
      </c>
      <c r="K167" s="64">
        <f>K168+K172+K177+K189+K199+K211+K217+K220+K223+K226+K232</f>
        <v>0</v>
      </c>
      <c r="L167" s="60"/>
    </row>
    <row r="168" spans="1:62" x14ac:dyDescent="0.2">
      <c r="A168" s="37"/>
      <c r="B168" s="44" t="s">
        <v>144</v>
      </c>
      <c r="C168" s="129" t="s">
        <v>267</v>
      </c>
      <c r="D168" s="130"/>
      <c r="E168" s="130"/>
      <c r="F168" s="37" t="s">
        <v>58</v>
      </c>
      <c r="G168" s="37" t="s">
        <v>58</v>
      </c>
      <c r="H168" s="37" t="s">
        <v>58</v>
      </c>
      <c r="I168" s="63">
        <f>SUM(I169:I169)</f>
        <v>0</v>
      </c>
      <c r="J168" s="63">
        <f>SUM(J169:J169)</f>
        <v>0</v>
      </c>
      <c r="K168" s="63">
        <f>SUM(K169:K169)</f>
        <v>0</v>
      </c>
      <c r="L168" s="57"/>
      <c r="AI168" s="57" t="s">
        <v>61</v>
      </c>
      <c r="AS168" s="63">
        <f>SUM(AJ169:AJ169)</f>
        <v>0</v>
      </c>
      <c r="AT168" s="63">
        <f>SUM(AK169:AK169)</f>
        <v>0</v>
      </c>
      <c r="AU168" s="63">
        <f>SUM(AL169:AL169)</f>
        <v>0</v>
      </c>
    </row>
    <row r="169" spans="1:62" x14ac:dyDescent="0.2">
      <c r="A169" s="38" t="s">
        <v>143</v>
      </c>
      <c r="B169" s="38" t="s">
        <v>165</v>
      </c>
      <c r="C169" s="131" t="s">
        <v>268</v>
      </c>
      <c r="D169" s="132"/>
      <c r="E169" s="132"/>
      <c r="F169" s="38" t="s">
        <v>419</v>
      </c>
      <c r="G169" s="48">
        <v>0.9</v>
      </c>
      <c r="H169" s="148">
        <v>0</v>
      </c>
      <c r="I169" s="148">
        <f>G169*AO169</f>
        <v>0</v>
      </c>
      <c r="J169" s="148">
        <f>G169*AP169</f>
        <v>0</v>
      </c>
      <c r="K169" s="48">
        <f>G169*H169</f>
        <v>0</v>
      </c>
      <c r="L169" s="58" t="s">
        <v>434</v>
      </c>
      <c r="Z169" s="30">
        <f>IF(AQ169="5",BJ169,0)</f>
        <v>0</v>
      </c>
      <c r="AB169" s="30">
        <f>IF(AQ169="1",BH169,0)</f>
        <v>0</v>
      </c>
      <c r="AC169" s="30">
        <f>IF(AQ169="1",BI169,0)</f>
        <v>0</v>
      </c>
      <c r="AD169" s="30">
        <f>IF(AQ169="7",BH169,0)</f>
        <v>0</v>
      </c>
      <c r="AE169" s="30">
        <f>IF(AQ169="7",BI169,0)</f>
        <v>0</v>
      </c>
      <c r="AF169" s="30">
        <f>IF(AQ169="2",BH169,0)</f>
        <v>0</v>
      </c>
      <c r="AG169" s="30">
        <f>IF(AQ169="2",BI169,0)</f>
        <v>0</v>
      </c>
      <c r="AH169" s="30">
        <f>IF(AQ169="0",BJ169,0)</f>
        <v>0</v>
      </c>
      <c r="AI169" s="57" t="s">
        <v>61</v>
      </c>
      <c r="AJ169" s="48">
        <f>IF(AN169=0,K169,0)</f>
        <v>0</v>
      </c>
      <c r="AK169" s="48">
        <f>IF(AN169=15,K169,0)</f>
        <v>0</v>
      </c>
      <c r="AL169" s="48">
        <f>IF(AN169=21,K169,0)</f>
        <v>0</v>
      </c>
      <c r="AN169" s="30">
        <v>21</v>
      </c>
      <c r="AO169" s="30">
        <f>H169*0.428884758364312</f>
        <v>0</v>
      </c>
      <c r="AP169" s="30">
        <f>H169*(1-0.428884758364312)</f>
        <v>0</v>
      </c>
      <c r="AQ169" s="58" t="s">
        <v>87</v>
      </c>
      <c r="AV169" s="30">
        <f>AW169+AX169</f>
        <v>0</v>
      </c>
      <c r="AW169" s="30">
        <f>G169*AO169</f>
        <v>0</v>
      </c>
      <c r="AX169" s="30">
        <f>G169*AP169</f>
        <v>0</v>
      </c>
      <c r="AY169" s="61" t="s">
        <v>446</v>
      </c>
      <c r="AZ169" s="61" t="s">
        <v>470</v>
      </c>
      <c r="BA169" s="57" t="s">
        <v>476</v>
      </c>
      <c r="BC169" s="30">
        <f>AW169+AX169</f>
        <v>0</v>
      </c>
      <c r="BD169" s="30">
        <f>H169/(100-BE169)*100</f>
        <v>0</v>
      </c>
      <c r="BE169" s="30">
        <v>0</v>
      </c>
      <c r="BF169" s="30">
        <f>169</f>
        <v>169</v>
      </c>
      <c r="BH169" s="48">
        <f>G169*AO169</f>
        <v>0</v>
      </c>
      <c r="BI169" s="48">
        <f>G169*AP169</f>
        <v>0</v>
      </c>
      <c r="BJ169" s="48">
        <f>G169*H169</f>
        <v>0</v>
      </c>
    </row>
    <row r="170" spans="1:62" x14ac:dyDescent="0.2">
      <c r="B170" s="45" t="s">
        <v>166</v>
      </c>
      <c r="C170" s="133" t="s">
        <v>269</v>
      </c>
      <c r="D170" s="134"/>
      <c r="E170" s="134"/>
      <c r="F170" s="134"/>
      <c r="G170" s="134"/>
      <c r="H170" s="134"/>
      <c r="I170" s="134"/>
      <c r="J170" s="134"/>
      <c r="K170" s="134"/>
      <c r="L170" s="134"/>
    </row>
    <row r="171" spans="1:62" x14ac:dyDescent="0.2">
      <c r="C171" s="135" t="s">
        <v>380</v>
      </c>
      <c r="D171" s="136"/>
      <c r="E171" s="136"/>
      <c r="G171" s="49">
        <v>0.9</v>
      </c>
    </row>
    <row r="172" spans="1:62" x14ac:dyDescent="0.2">
      <c r="A172" s="37"/>
      <c r="B172" s="44" t="s">
        <v>188</v>
      </c>
      <c r="C172" s="129" t="s">
        <v>306</v>
      </c>
      <c r="D172" s="130"/>
      <c r="E172" s="130"/>
      <c r="F172" s="37" t="s">
        <v>58</v>
      </c>
      <c r="G172" s="37" t="s">
        <v>58</v>
      </c>
      <c r="H172" s="37" t="s">
        <v>58</v>
      </c>
      <c r="I172" s="63">
        <f>SUM(I173:I173)</f>
        <v>0</v>
      </c>
      <c r="J172" s="63">
        <f>SUM(J173:J173)</f>
        <v>0</v>
      </c>
      <c r="K172" s="63">
        <f>SUM(K173:K173)</f>
        <v>0</v>
      </c>
      <c r="L172" s="57"/>
      <c r="AI172" s="57" t="s">
        <v>61</v>
      </c>
      <c r="AS172" s="63">
        <f>SUM(AJ173:AJ173)</f>
        <v>0</v>
      </c>
      <c r="AT172" s="63">
        <f>SUM(AK173:AK173)</f>
        <v>0</v>
      </c>
      <c r="AU172" s="63">
        <f>SUM(AL173:AL173)</f>
        <v>0</v>
      </c>
    </row>
    <row r="173" spans="1:62" x14ac:dyDescent="0.2">
      <c r="A173" s="38" t="s">
        <v>144</v>
      </c>
      <c r="B173" s="38" t="s">
        <v>236</v>
      </c>
      <c r="C173" s="131" t="s">
        <v>381</v>
      </c>
      <c r="D173" s="132"/>
      <c r="E173" s="132"/>
      <c r="F173" s="38" t="s">
        <v>422</v>
      </c>
      <c r="G173" s="48">
        <v>16</v>
      </c>
      <c r="H173" s="148">
        <v>0</v>
      </c>
      <c r="I173" s="148">
        <f>G173*AO173</f>
        <v>0</v>
      </c>
      <c r="J173" s="148">
        <f>G173*AP173</f>
        <v>0</v>
      </c>
      <c r="K173" s="48">
        <f>G173*H173</f>
        <v>0</v>
      </c>
      <c r="L173" s="58" t="s">
        <v>434</v>
      </c>
      <c r="Z173" s="30">
        <f>IF(AQ173="5",BJ173,0)</f>
        <v>0</v>
      </c>
      <c r="AB173" s="30">
        <f>IF(AQ173="1",BH173,0)</f>
        <v>0</v>
      </c>
      <c r="AC173" s="30">
        <f>IF(AQ173="1",BI173,0)</f>
        <v>0</v>
      </c>
      <c r="AD173" s="30">
        <f>IF(AQ173="7",BH173,0)</f>
        <v>0</v>
      </c>
      <c r="AE173" s="30">
        <f>IF(AQ173="7",BI173,0)</f>
        <v>0</v>
      </c>
      <c r="AF173" s="30">
        <f>IF(AQ173="2",BH173,0)</f>
        <v>0</v>
      </c>
      <c r="AG173" s="30">
        <f>IF(AQ173="2",BI173,0)</f>
        <v>0</v>
      </c>
      <c r="AH173" s="30">
        <f>IF(AQ173="0",BJ173,0)</f>
        <v>0</v>
      </c>
      <c r="AI173" s="57" t="s">
        <v>61</v>
      </c>
      <c r="AJ173" s="48">
        <f>IF(AN173=0,K173,0)</f>
        <v>0</v>
      </c>
      <c r="AK173" s="48">
        <f>IF(AN173=15,K173,0)</f>
        <v>0</v>
      </c>
      <c r="AL173" s="48">
        <f>IF(AN173=21,K173,0)</f>
        <v>0</v>
      </c>
      <c r="AN173" s="30">
        <v>21</v>
      </c>
      <c r="AO173" s="30">
        <f>H173*0.497076144229776</f>
        <v>0</v>
      </c>
      <c r="AP173" s="30">
        <f>H173*(1-0.497076144229776)</f>
        <v>0</v>
      </c>
      <c r="AQ173" s="58" t="s">
        <v>92</v>
      </c>
      <c r="AV173" s="30">
        <f>AW173+AX173</f>
        <v>0</v>
      </c>
      <c r="AW173" s="30">
        <f>G173*AO173</f>
        <v>0</v>
      </c>
      <c r="AX173" s="30">
        <f>G173*AP173</f>
        <v>0</v>
      </c>
      <c r="AY173" s="61" t="s">
        <v>449</v>
      </c>
      <c r="AZ173" s="61" t="s">
        <v>471</v>
      </c>
      <c r="BA173" s="57" t="s">
        <v>476</v>
      </c>
      <c r="BC173" s="30">
        <f>AW173+AX173</f>
        <v>0</v>
      </c>
      <c r="BD173" s="30">
        <f>H173/(100-BE173)*100</f>
        <v>0</v>
      </c>
      <c r="BE173" s="30">
        <v>0</v>
      </c>
      <c r="BF173" s="30">
        <f>173</f>
        <v>173</v>
      </c>
      <c r="BH173" s="48">
        <f>G173*AO173</f>
        <v>0</v>
      </c>
      <c r="BI173" s="48">
        <f>G173*AP173</f>
        <v>0</v>
      </c>
      <c r="BJ173" s="48">
        <f>G173*H173</f>
        <v>0</v>
      </c>
    </row>
    <row r="174" spans="1:62" x14ac:dyDescent="0.2">
      <c r="B174" s="45" t="s">
        <v>166</v>
      </c>
      <c r="C174" s="133" t="s">
        <v>382</v>
      </c>
      <c r="D174" s="134"/>
      <c r="E174" s="134"/>
      <c r="F174" s="134"/>
      <c r="G174" s="134"/>
      <c r="H174" s="134"/>
      <c r="I174" s="134"/>
      <c r="J174" s="134"/>
      <c r="K174" s="134"/>
      <c r="L174" s="134"/>
    </row>
    <row r="175" spans="1:62" x14ac:dyDescent="0.2">
      <c r="C175" s="135" t="s">
        <v>383</v>
      </c>
      <c r="D175" s="136"/>
      <c r="E175" s="136"/>
      <c r="G175" s="49">
        <v>16</v>
      </c>
    </row>
    <row r="176" spans="1:62" x14ac:dyDescent="0.2">
      <c r="B176" s="45" t="s">
        <v>168</v>
      </c>
      <c r="C176" s="137" t="s">
        <v>323</v>
      </c>
      <c r="D176" s="138"/>
      <c r="E176" s="138"/>
      <c r="F176" s="138"/>
      <c r="G176" s="138"/>
      <c r="H176" s="138"/>
      <c r="I176" s="138"/>
      <c r="J176" s="138"/>
      <c r="K176" s="138"/>
      <c r="L176" s="138"/>
    </row>
    <row r="177" spans="1:62" x14ac:dyDescent="0.2">
      <c r="A177" s="37"/>
      <c r="B177" s="44" t="s">
        <v>237</v>
      </c>
      <c r="C177" s="129" t="s">
        <v>384</v>
      </c>
      <c r="D177" s="130"/>
      <c r="E177" s="130"/>
      <c r="F177" s="37" t="s">
        <v>58</v>
      </c>
      <c r="G177" s="37" t="s">
        <v>58</v>
      </c>
      <c r="H177" s="37" t="s">
        <v>58</v>
      </c>
      <c r="I177" s="63">
        <f>SUM(I178:I187)</f>
        <v>0</v>
      </c>
      <c r="J177" s="63">
        <f>SUM(J178:J187)</f>
        <v>0</v>
      </c>
      <c r="K177" s="63">
        <f>SUM(K178:K187)</f>
        <v>0</v>
      </c>
      <c r="L177" s="57"/>
      <c r="AI177" s="57" t="s">
        <v>61</v>
      </c>
      <c r="AS177" s="63">
        <f>SUM(AJ178:AJ187)</f>
        <v>0</v>
      </c>
      <c r="AT177" s="63">
        <f>SUM(AK178:AK187)</f>
        <v>0</v>
      </c>
      <c r="AU177" s="63">
        <f>SUM(AL178:AL187)</f>
        <v>0</v>
      </c>
    </row>
    <row r="178" spans="1:62" x14ac:dyDescent="0.2">
      <c r="A178" s="38" t="s">
        <v>145</v>
      </c>
      <c r="B178" s="38" t="s">
        <v>238</v>
      </c>
      <c r="C178" s="131" t="s">
        <v>385</v>
      </c>
      <c r="D178" s="132"/>
      <c r="E178" s="132"/>
      <c r="F178" s="38" t="s">
        <v>422</v>
      </c>
      <c r="G178" s="48">
        <v>16</v>
      </c>
      <c r="H178" s="148">
        <v>0</v>
      </c>
      <c r="I178" s="148">
        <f>G178*AO178</f>
        <v>0</v>
      </c>
      <c r="J178" s="148">
        <f>G178*AP178</f>
        <v>0</v>
      </c>
      <c r="K178" s="48">
        <f>G178*H178</f>
        <v>0</v>
      </c>
      <c r="L178" s="58" t="s">
        <v>434</v>
      </c>
      <c r="Z178" s="30">
        <f>IF(AQ178="5",BJ178,0)</f>
        <v>0</v>
      </c>
      <c r="AB178" s="30">
        <f>IF(AQ178="1",BH178,0)</f>
        <v>0</v>
      </c>
      <c r="AC178" s="30">
        <f>IF(AQ178="1",BI178,0)</f>
        <v>0</v>
      </c>
      <c r="AD178" s="30">
        <f>IF(AQ178="7",BH178,0)</f>
        <v>0</v>
      </c>
      <c r="AE178" s="30">
        <f>IF(AQ178="7",BI178,0)</f>
        <v>0</v>
      </c>
      <c r="AF178" s="30">
        <f>IF(AQ178="2",BH178,0)</f>
        <v>0</v>
      </c>
      <c r="AG178" s="30">
        <f>IF(AQ178="2",BI178,0)</f>
        <v>0</v>
      </c>
      <c r="AH178" s="30">
        <f>IF(AQ178="0",BJ178,0)</f>
        <v>0</v>
      </c>
      <c r="AI178" s="57" t="s">
        <v>61</v>
      </c>
      <c r="AJ178" s="48">
        <f>IF(AN178=0,K178,0)</f>
        <v>0</v>
      </c>
      <c r="AK178" s="48">
        <f>IF(AN178=15,K178,0)</f>
        <v>0</v>
      </c>
      <c r="AL178" s="48">
        <f>IF(AN178=21,K178,0)</f>
        <v>0</v>
      </c>
      <c r="AN178" s="30">
        <v>21</v>
      </c>
      <c r="AO178" s="30">
        <f>H178*0.563101604278075</f>
        <v>0</v>
      </c>
      <c r="AP178" s="30">
        <f>H178*(1-0.563101604278075)</f>
        <v>0</v>
      </c>
      <c r="AQ178" s="58" t="s">
        <v>92</v>
      </c>
      <c r="AV178" s="30">
        <f>AW178+AX178</f>
        <v>0</v>
      </c>
      <c r="AW178" s="30">
        <f>G178*AO178</f>
        <v>0</v>
      </c>
      <c r="AX178" s="30">
        <f>G178*AP178</f>
        <v>0</v>
      </c>
      <c r="AY178" s="61" t="s">
        <v>459</v>
      </c>
      <c r="AZ178" s="61" t="s">
        <v>472</v>
      </c>
      <c r="BA178" s="57" t="s">
        <v>476</v>
      </c>
      <c r="BC178" s="30">
        <f>AW178+AX178</f>
        <v>0</v>
      </c>
      <c r="BD178" s="30">
        <f>H178/(100-BE178)*100</f>
        <v>0</v>
      </c>
      <c r="BE178" s="30">
        <v>0</v>
      </c>
      <c r="BF178" s="30">
        <f>178</f>
        <v>178</v>
      </c>
      <c r="BH178" s="48">
        <f>G178*AO178</f>
        <v>0</v>
      </c>
      <c r="BI178" s="48">
        <f>G178*AP178</f>
        <v>0</v>
      </c>
      <c r="BJ178" s="48">
        <f>G178*H178</f>
        <v>0</v>
      </c>
    </row>
    <row r="179" spans="1:62" x14ac:dyDescent="0.2">
      <c r="C179" s="135" t="s">
        <v>383</v>
      </c>
      <c r="D179" s="136"/>
      <c r="E179" s="136"/>
      <c r="G179" s="49">
        <v>16</v>
      </c>
    </row>
    <row r="180" spans="1:62" x14ac:dyDescent="0.2">
      <c r="B180" s="45" t="s">
        <v>168</v>
      </c>
      <c r="C180" s="137" t="s">
        <v>318</v>
      </c>
      <c r="D180" s="138"/>
      <c r="E180" s="138"/>
      <c r="F180" s="138"/>
      <c r="G180" s="138"/>
      <c r="H180" s="138"/>
      <c r="I180" s="138"/>
      <c r="J180" s="138"/>
      <c r="K180" s="138"/>
      <c r="L180" s="138"/>
    </row>
    <row r="181" spans="1:62" x14ac:dyDescent="0.2">
      <c r="A181" s="38" t="s">
        <v>146</v>
      </c>
      <c r="B181" s="38" t="s">
        <v>239</v>
      </c>
      <c r="C181" s="131" t="s">
        <v>386</v>
      </c>
      <c r="D181" s="132"/>
      <c r="E181" s="132"/>
      <c r="F181" s="38" t="s">
        <v>421</v>
      </c>
      <c r="G181" s="48">
        <v>2</v>
      </c>
      <c r="H181" s="148">
        <v>0</v>
      </c>
      <c r="I181" s="148">
        <f>G181*AO181</f>
        <v>0</v>
      </c>
      <c r="J181" s="148">
        <f>G181*AP181</f>
        <v>0</v>
      </c>
      <c r="K181" s="48">
        <f>G181*H181</f>
        <v>0</v>
      </c>
      <c r="L181" s="58" t="s">
        <v>434</v>
      </c>
      <c r="Z181" s="30">
        <f>IF(AQ181="5",BJ181,0)</f>
        <v>0</v>
      </c>
      <c r="AB181" s="30">
        <f>IF(AQ181="1",BH181,0)</f>
        <v>0</v>
      </c>
      <c r="AC181" s="30">
        <f>IF(AQ181="1",BI181,0)</f>
        <v>0</v>
      </c>
      <c r="AD181" s="30">
        <f>IF(AQ181="7",BH181,0)</f>
        <v>0</v>
      </c>
      <c r="AE181" s="30">
        <f>IF(AQ181="7",BI181,0)</f>
        <v>0</v>
      </c>
      <c r="AF181" s="30">
        <f>IF(AQ181="2",BH181,0)</f>
        <v>0</v>
      </c>
      <c r="AG181" s="30">
        <f>IF(AQ181="2",BI181,0)</f>
        <v>0</v>
      </c>
      <c r="AH181" s="30">
        <f>IF(AQ181="0",BJ181,0)</f>
        <v>0</v>
      </c>
      <c r="AI181" s="57" t="s">
        <v>61</v>
      </c>
      <c r="AJ181" s="48">
        <f>IF(AN181=0,K181,0)</f>
        <v>0</v>
      </c>
      <c r="AK181" s="48">
        <f>IF(AN181=15,K181,0)</f>
        <v>0</v>
      </c>
      <c r="AL181" s="48">
        <f>IF(AN181=21,K181,0)</f>
        <v>0</v>
      </c>
      <c r="AN181" s="30">
        <v>21</v>
      </c>
      <c r="AO181" s="30">
        <f>H181*0.214007220216607</f>
        <v>0</v>
      </c>
      <c r="AP181" s="30">
        <f>H181*(1-0.214007220216607)</f>
        <v>0</v>
      </c>
      <c r="AQ181" s="58" t="s">
        <v>92</v>
      </c>
      <c r="AV181" s="30">
        <f>AW181+AX181</f>
        <v>0</v>
      </c>
      <c r="AW181" s="30">
        <f>G181*AO181</f>
        <v>0</v>
      </c>
      <c r="AX181" s="30">
        <f>G181*AP181</f>
        <v>0</v>
      </c>
      <c r="AY181" s="61" t="s">
        <v>459</v>
      </c>
      <c r="AZ181" s="61" t="s">
        <v>472</v>
      </c>
      <c r="BA181" s="57" t="s">
        <v>476</v>
      </c>
      <c r="BC181" s="30">
        <f>AW181+AX181</f>
        <v>0</v>
      </c>
      <c r="BD181" s="30">
        <f>H181/(100-BE181)*100</f>
        <v>0</v>
      </c>
      <c r="BE181" s="30">
        <v>0</v>
      </c>
      <c r="BF181" s="30">
        <f>181</f>
        <v>181</v>
      </c>
      <c r="BH181" s="48">
        <f>G181*AO181</f>
        <v>0</v>
      </c>
      <c r="BI181" s="48">
        <f>G181*AP181</f>
        <v>0</v>
      </c>
      <c r="BJ181" s="48">
        <f>G181*H181</f>
        <v>0</v>
      </c>
    </row>
    <row r="182" spans="1:62" x14ac:dyDescent="0.2">
      <c r="C182" s="135" t="s">
        <v>320</v>
      </c>
      <c r="D182" s="136"/>
      <c r="E182" s="136"/>
      <c r="G182" s="49">
        <v>2</v>
      </c>
    </row>
    <row r="183" spans="1:62" x14ac:dyDescent="0.2">
      <c r="A183" s="38" t="s">
        <v>147</v>
      </c>
      <c r="B183" s="38" t="s">
        <v>240</v>
      </c>
      <c r="C183" s="131" t="s">
        <v>387</v>
      </c>
      <c r="D183" s="132"/>
      <c r="E183" s="132"/>
      <c r="F183" s="38" t="s">
        <v>422</v>
      </c>
      <c r="G183" s="48">
        <v>16</v>
      </c>
      <c r="H183" s="148">
        <v>0</v>
      </c>
      <c r="I183" s="148">
        <f>G183*AO183</f>
        <v>0</v>
      </c>
      <c r="J183" s="148">
        <f>G183*AP183</f>
        <v>0</v>
      </c>
      <c r="K183" s="48">
        <f>G183*H183</f>
        <v>0</v>
      </c>
      <c r="L183" s="58" t="s">
        <v>434</v>
      </c>
      <c r="Z183" s="30">
        <f>IF(AQ183="5",BJ183,0)</f>
        <v>0</v>
      </c>
      <c r="AB183" s="30">
        <f>IF(AQ183="1",BH183,0)</f>
        <v>0</v>
      </c>
      <c r="AC183" s="30">
        <f>IF(AQ183="1",BI183,0)</f>
        <v>0</v>
      </c>
      <c r="AD183" s="30">
        <f>IF(AQ183="7",BH183,0)</f>
        <v>0</v>
      </c>
      <c r="AE183" s="30">
        <f>IF(AQ183="7",BI183,0)</f>
        <v>0</v>
      </c>
      <c r="AF183" s="30">
        <f>IF(AQ183="2",BH183,0)</f>
        <v>0</v>
      </c>
      <c r="AG183" s="30">
        <f>IF(AQ183="2",BI183,0)</f>
        <v>0</v>
      </c>
      <c r="AH183" s="30">
        <f>IF(AQ183="0",BJ183,0)</f>
        <v>0</v>
      </c>
      <c r="AI183" s="57" t="s">
        <v>61</v>
      </c>
      <c r="AJ183" s="48">
        <f>IF(AN183=0,K183,0)</f>
        <v>0</v>
      </c>
      <c r="AK183" s="48">
        <f>IF(AN183=15,K183,0)</f>
        <v>0</v>
      </c>
      <c r="AL183" s="48">
        <f>IF(AN183=21,K183,0)</f>
        <v>0</v>
      </c>
      <c r="AN183" s="30">
        <v>21</v>
      </c>
      <c r="AO183" s="30">
        <f>H183*0.0185185185185185</f>
        <v>0</v>
      </c>
      <c r="AP183" s="30">
        <f>H183*(1-0.0185185185185185)</f>
        <v>0</v>
      </c>
      <c r="AQ183" s="58" t="s">
        <v>92</v>
      </c>
      <c r="AV183" s="30">
        <f>AW183+AX183</f>
        <v>0</v>
      </c>
      <c r="AW183" s="30">
        <f>G183*AO183</f>
        <v>0</v>
      </c>
      <c r="AX183" s="30">
        <f>G183*AP183</f>
        <v>0</v>
      </c>
      <c r="AY183" s="61" t="s">
        <v>459</v>
      </c>
      <c r="AZ183" s="61" t="s">
        <v>472</v>
      </c>
      <c r="BA183" s="57" t="s">
        <v>476</v>
      </c>
      <c r="BC183" s="30">
        <f>AW183+AX183</f>
        <v>0</v>
      </c>
      <c r="BD183" s="30">
        <f>H183/(100-BE183)*100</f>
        <v>0</v>
      </c>
      <c r="BE183" s="30">
        <v>0</v>
      </c>
      <c r="BF183" s="30">
        <f>183</f>
        <v>183</v>
      </c>
      <c r="BH183" s="48">
        <f>G183*AO183</f>
        <v>0</v>
      </c>
      <c r="BI183" s="48">
        <f>G183*AP183</f>
        <v>0</v>
      </c>
      <c r="BJ183" s="48">
        <f>G183*H183</f>
        <v>0</v>
      </c>
    </row>
    <row r="184" spans="1:62" x14ac:dyDescent="0.2">
      <c r="C184" s="135" t="s">
        <v>383</v>
      </c>
      <c r="D184" s="136"/>
      <c r="E184" s="136"/>
      <c r="G184" s="49">
        <v>16</v>
      </c>
    </row>
    <row r="185" spans="1:62" x14ac:dyDescent="0.2">
      <c r="A185" s="38" t="s">
        <v>148</v>
      </c>
      <c r="B185" s="38" t="s">
        <v>241</v>
      </c>
      <c r="C185" s="131" t="s">
        <v>388</v>
      </c>
      <c r="D185" s="132"/>
      <c r="E185" s="132"/>
      <c r="F185" s="38" t="s">
        <v>421</v>
      </c>
      <c r="G185" s="48">
        <v>4</v>
      </c>
      <c r="H185" s="148">
        <v>0</v>
      </c>
      <c r="I185" s="148">
        <f>G185*AO185</f>
        <v>0</v>
      </c>
      <c r="J185" s="148">
        <f>G185*AP185</f>
        <v>0</v>
      </c>
      <c r="K185" s="48">
        <f>G185*H185</f>
        <v>0</v>
      </c>
      <c r="L185" s="58" t="s">
        <v>434</v>
      </c>
      <c r="Z185" s="30">
        <f>IF(AQ185="5",BJ185,0)</f>
        <v>0</v>
      </c>
      <c r="AB185" s="30">
        <f>IF(AQ185="1",BH185,0)</f>
        <v>0</v>
      </c>
      <c r="AC185" s="30">
        <f>IF(AQ185="1",BI185,0)</f>
        <v>0</v>
      </c>
      <c r="AD185" s="30">
        <f>IF(AQ185="7",BH185,0)</f>
        <v>0</v>
      </c>
      <c r="AE185" s="30">
        <f>IF(AQ185="7",BI185,0)</f>
        <v>0</v>
      </c>
      <c r="AF185" s="30">
        <f>IF(AQ185="2",BH185,0)</f>
        <v>0</v>
      </c>
      <c r="AG185" s="30">
        <f>IF(AQ185="2",BI185,0)</f>
        <v>0</v>
      </c>
      <c r="AH185" s="30">
        <f>IF(AQ185="0",BJ185,0)</f>
        <v>0</v>
      </c>
      <c r="AI185" s="57" t="s">
        <v>61</v>
      </c>
      <c r="AJ185" s="48">
        <f>IF(AN185=0,K185,0)</f>
        <v>0</v>
      </c>
      <c r="AK185" s="48">
        <f>IF(AN185=15,K185,0)</f>
        <v>0</v>
      </c>
      <c r="AL185" s="48">
        <f>IF(AN185=21,K185,0)</f>
        <v>0</v>
      </c>
      <c r="AN185" s="30">
        <v>21</v>
      </c>
      <c r="AO185" s="30">
        <f>H185*0.323295194508009</f>
        <v>0</v>
      </c>
      <c r="AP185" s="30">
        <f>H185*(1-0.323295194508009)</f>
        <v>0</v>
      </c>
      <c r="AQ185" s="58" t="s">
        <v>92</v>
      </c>
      <c r="AV185" s="30">
        <f>AW185+AX185</f>
        <v>0</v>
      </c>
      <c r="AW185" s="30">
        <f>G185*AO185</f>
        <v>0</v>
      </c>
      <c r="AX185" s="30">
        <f>G185*AP185</f>
        <v>0</v>
      </c>
      <c r="AY185" s="61" t="s">
        <v>459</v>
      </c>
      <c r="AZ185" s="61" t="s">
        <v>472</v>
      </c>
      <c r="BA185" s="57" t="s">
        <v>476</v>
      </c>
      <c r="BC185" s="30">
        <f>AW185+AX185</f>
        <v>0</v>
      </c>
      <c r="BD185" s="30">
        <f>H185/(100-BE185)*100</f>
        <v>0</v>
      </c>
      <c r="BE185" s="30">
        <v>0</v>
      </c>
      <c r="BF185" s="30">
        <f>185</f>
        <v>185</v>
      </c>
      <c r="BH185" s="48">
        <f>G185*AO185</f>
        <v>0</v>
      </c>
      <c r="BI185" s="48">
        <f>G185*AP185</f>
        <v>0</v>
      </c>
      <c r="BJ185" s="48">
        <f>G185*H185</f>
        <v>0</v>
      </c>
    </row>
    <row r="186" spans="1:62" x14ac:dyDescent="0.2">
      <c r="C186" s="135" t="s">
        <v>284</v>
      </c>
      <c r="D186" s="136"/>
      <c r="E186" s="136"/>
      <c r="G186" s="49">
        <v>4</v>
      </c>
    </row>
    <row r="187" spans="1:62" x14ac:dyDescent="0.2">
      <c r="A187" s="38" t="s">
        <v>149</v>
      </c>
      <c r="B187" s="38" t="s">
        <v>242</v>
      </c>
      <c r="C187" s="131" t="s">
        <v>389</v>
      </c>
      <c r="D187" s="132"/>
      <c r="E187" s="132"/>
      <c r="F187" s="38" t="s">
        <v>421</v>
      </c>
      <c r="G187" s="48">
        <v>2</v>
      </c>
      <c r="H187" s="148">
        <v>0</v>
      </c>
      <c r="I187" s="148">
        <f>G187*AO187</f>
        <v>0</v>
      </c>
      <c r="J187" s="148">
        <f>G187*AP187</f>
        <v>0</v>
      </c>
      <c r="K187" s="48">
        <f>G187*H187</f>
        <v>0</v>
      </c>
      <c r="L187" s="58" t="s">
        <v>434</v>
      </c>
      <c r="Z187" s="30">
        <f>IF(AQ187="5",BJ187,0)</f>
        <v>0</v>
      </c>
      <c r="AB187" s="30">
        <f>IF(AQ187="1",BH187,0)</f>
        <v>0</v>
      </c>
      <c r="AC187" s="30">
        <f>IF(AQ187="1",BI187,0)</f>
        <v>0</v>
      </c>
      <c r="AD187" s="30">
        <f>IF(AQ187="7",BH187,0)</f>
        <v>0</v>
      </c>
      <c r="AE187" s="30">
        <f>IF(AQ187="7",BI187,0)</f>
        <v>0</v>
      </c>
      <c r="AF187" s="30">
        <f>IF(AQ187="2",BH187,0)</f>
        <v>0</v>
      </c>
      <c r="AG187" s="30">
        <f>IF(AQ187="2",BI187,0)</f>
        <v>0</v>
      </c>
      <c r="AH187" s="30">
        <f>IF(AQ187="0",BJ187,0)</f>
        <v>0</v>
      </c>
      <c r="AI187" s="57" t="s">
        <v>61</v>
      </c>
      <c r="AJ187" s="48">
        <f>IF(AN187=0,K187,0)</f>
        <v>0</v>
      </c>
      <c r="AK187" s="48">
        <f>IF(AN187=15,K187,0)</f>
        <v>0</v>
      </c>
      <c r="AL187" s="48">
        <f>IF(AN187=21,K187,0)</f>
        <v>0</v>
      </c>
      <c r="AN187" s="30">
        <v>21</v>
      </c>
      <c r="AO187" s="30">
        <f>H187*0.47722433460076</f>
        <v>0</v>
      </c>
      <c r="AP187" s="30">
        <f>H187*(1-0.47722433460076)</f>
        <v>0</v>
      </c>
      <c r="AQ187" s="58" t="s">
        <v>92</v>
      </c>
      <c r="AV187" s="30">
        <f>AW187+AX187</f>
        <v>0</v>
      </c>
      <c r="AW187" s="30">
        <f>G187*AO187</f>
        <v>0</v>
      </c>
      <c r="AX187" s="30">
        <f>G187*AP187</f>
        <v>0</v>
      </c>
      <c r="AY187" s="61" t="s">
        <v>459</v>
      </c>
      <c r="AZ187" s="61" t="s">
        <v>472</v>
      </c>
      <c r="BA187" s="57" t="s">
        <v>476</v>
      </c>
      <c r="BC187" s="30">
        <f>AW187+AX187</f>
        <v>0</v>
      </c>
      <c r="BD187" s="30">
        <f>H187/(100-BE187)*100</f>
        <v>0</v>
      </c>
      <c r="BE187" s="30">
        <v>0</v>
      </c>
      <c r="BF187" s="30">
        <f>187</f>
        <v>187</v>
      </c>
      <c r="BH187" s="48">
        <f>G187*AO187</f>
        <v>0</v>
      </c>
      <c r="BI187" s="48">
        <f>G187*AP187</f>
        <v>0</v>
      </c>
      <c r="BJ187" s="48">
        <f>G187*H187</f>
        <v>0</v>
      </c>
    </row>
    <row r="188" spans="1:62" x14ac:dyDescent="0.2">
      <c r="C188" s="135" t="s">
        <v>390</v>
      </c>
      <c r="D188" s="136"/>
      <c r="E188" s="136"/>
      <c r="G188" s="49">
        <v>2</v>
      </c>
    </row>
    <row r="189" spans="1:62" x14ac:dyDescent="0.2">
      <c r="A189" s="37"/>
      <c r="B189" s="44" t="s">
        <v>243</v>
      </c>
      <c r="C189" s="129" t="s">
        <v>391</v>
      </c>
      <c r="D189" s="130"/>
      <c r="E189" s="130"/>
      <c r="F189" s="37" t="s">
        <v>58</v>
      </c>
      <c r="G189" s="37" t="s">
        <v>58</v>
      </c>
      <c r="H189" s="37" t="s">
        <v>58</v>
      </c>
      <c r="I189" s="63">
        <f>SUM(I190:I197)</f>
        <v>0</v>
      </c>
      <c r="J189" s="63">
        <f>SUM(J190:J197)</f>
        <v>0</v>
      </c>
      <c r="K189" s="63">
        <f>SUM(K190:K197)</f>
        <v>0</v>
      </c>
      <c r="L189" s="57"/>
      <c r="AI189" s="57" t="s">
        <v>61</v>
      </c>
      <c r="AS189" s="63">
        <f>SUM(AJ190:AJ197)</f>
        <v>0</v>
      </c>
      <c r="AT189" s="63">
        <f>SUM(AK190:AK197)</f>
        <v>0</v>
      </c>
      <c r="AU189" s="63">
        <f>SUM(AL190:AL197)</f>
        <v>0</v>
      </c>
    </row>
    <row r="190" spans="1:62" x14ac:dyDescent="0.2">
      <c r="A190" s="38" t="s">
        <v>150</v>
      </c>
      <c r="B190" s="38" t="s">
        <v>244</v>
      </c>
      <c r="C190" s="131" t="s">
        <v>392</v>
      </c>
      <c r="D190" s="132"/>
      <c r="E190" s="132"/>
      <c r="F190" s="38" t="s">
        <v>421</v>
      </c>
      <c r="G190" s="48">
        <v>1</v>
      </c>
      <c r="H190" s="148">
        <v>0</v>
      </c>
      <c r="I190" s="148">
        <f>G190*AO190</f>
        <v>0</v>
      </c>
      <c r="J190" s="148">
        <f>G190*AP190</f>
        <v>0</v>
      </c>
      <c r="K190" s="48">
        <f>G190*H190</f>
        <v>0</v>
      </c>
      <c r="L190" s="58" t="s">
        <v>434</v>
      </c>
      <c r="Z190" s="30">
        <f>IF(AQ190="5",BJ190,0)</f>
        <v>0</v>
      </c>
      <c r="AB190" s="30">
        <f>IF(AQ190="1",BH190,0)</f>
        <v>0</v>
      </c>
      <c r="AC190" s="30">
        <f>IF(AQ190="1",BI190,0)</f>
        <v>0</v>
      </c>
      <c r="AD190" s="30">
        <f>IF(AQ190="7",BH190,0)</f>
        <v>0</v>
      </c>
      <c r="AE190" s="30">
        <f>IF(AQ190="7",BI190,0)</f>
        <v>0</v>
      </c>
      <c r="AF190" s="30">
        <f>IF(AQ190="2",BH190,0)</f>
        <v>0</v>
      </c>
      <c r="AG190" s="30">
        <f>IF(AQ190="2",BI190,0)</f>
        <v>0</v>
      </c>
      <c r="AH190" s="30">
        <f>IF(AQ190="0",BJ190,0)</f>
        <v>0</v>
      </c>
      <c r="AI190" s="57" t="s">
        <v>61</v>
      </c>
      <c r="AJ190" s="48">
        <f>IF(AN190=0,K190,0)</f>
        <v>0</v>
      </c>
      <c r="AK190" s="48">
        <f>IF(AN190=15,K190,0)</f>
        <v>0</v>
      </c>
      <c r="AL190" s="48">
        <f>IF(AN190=21,K190,0)</f>
        <v>0</v>
      </c>
      <c r="AN190" s="30">
        <v>21</v>
      </c>
      <c r="AO190" s="30">
        <f>H190*0.499019607843137</f>
        <v>0</v>
      </c>
      <c r="AP190" s="30">
        <f>H190*(1-0.499019607843137)</f>
        <v>0</v>
      </c>
      <c r="AQ190" s="58" t="s">
        <v>92</v>
      </c>
      <c r="AV190" s="30">
        <f>AW190+AX190</f>
        <v>0</v>
      </c>
      <c r="AW190" s="30">
        <f>G190*AO190</f>
        <v>0</v>
      </c>
      <c r="AX190" s="30">
        <f>G190*AP190</f>
        <v>0</v>
      </c>
      <c r="AY190" s="61" t="s">
        <v>460</v>
      </c>
      <c r="AZ190" s="61" t="s">
        <v>472</v>
      </c>
      <c r="BA190" s="57" t="s">
        <v>476</v>
      </c>
      <c r="BC190" s="30">
        <f>AW190+AX190</f>
        <v>0</v>
      </c>
      <c r="BD190" s="30">
        <f>H190/(100-BE190)*100</f>
        <v>0</v>
      </c>
      <c r="BE190" s="30">
        <v>0</v>
      </c>
      <c r="BF190" s="30">
        <f>190</f>
        <v>190</v>
      </c>
      <c r="BH190" s="48">
        <f>G190*AO190</f>
        <v>0</v>
      </c>
      <c r="BI190" s="48">
        <f>G190*AP190</f>
        <v>0</v>
      </c>
      <c r="BJ190" s="48">
        <f>G190*H190</f>
        <v>0</v>
      </c>
    </row>
    <row r="191" spans="1:62" x14ac:dyDescent="0.2">
      <c r="C191" s="135" t="s">
        <v>309</v>
      </c>
      <c r="D191" s="136"/>
      <c r="E191" s="136"/>
      <c r="G191" s="49">
        <v>1</v>
      </c>
    </row>
    <row r="192" spans="1:62" x14ac:dyDescent="0.2">
      <c r="A192" s="38" t="s">
        <v>151</v>
      </c>
      <c r="B192" s="38" t="s">
        <v>245</v>
      </c>
      <c r="C192" s="131" t="s">
        <v>393</v>
      </c>
      <c r="D192" s="132"/>
      <c r="E192" s="132"/>
      <c r="F192" s="38" t="s">
        <v>421</v>
      </c>
      <c r="G192" s="48">
        <v>1</v>
      </c>
      <c r="H192" s="148">
        <v>0</v>
      </c>
      <c r="I192" s="148">
        <f>G192*AO192</f>
        <v>0</v>
      </c>
      <c r="J192" s="148">
        <f>G192*AP192</f>
        <v>0</v>
      </c>
      <c r="K192" s="48">
        <f>G192*H192</f>
        <v>0</v>
      </c>
      <c r="L192" s="58" t="s">
        <v>434</v>
      </c>
      <c r="Z192" s="30">
        <f>IF(AQ192="5",BJ192,0)</f>
        <v>0</v>
      </c>
      <c r="AB192" s="30">
        <f>IF(AQ192="1",BH192,0)</f>
        <v>0</v>
      </c>
      <c r="AC192" s="30">
        <f>IF(AQ192="1",BI192,0)</f>
        <v>0</v>
      </c>
      <c r="AD192" s="30">
        <f>IF(AQ192="7",BH192,0)</f>
        <v>0</v>
      </c>
      <c r="AE192" s="30">
        <f>IF(AQ192="7",BI192,0)</f>
        <v>0</v>
      </c>
      <c r="AF192" s="30">
        <f>IF(AQ192="2",BH192,0)</f>
        <v>0</v>
      </c>
      <c r="AG192" s="30">
        <f>IF(AQ192="2",BI192,0)</f>
        <v>0</v>
      </c>
      <c r="AH192" s="30">
        <f>IF(AQ192="0",BJ192,0)</f>
        <v>0</v>
      </c>
      <c r="AI192" s="57" t="s">
        <v>61</v>
      </c>
      <c r="AJ192" s="48">
        <f>IF(AN192=0,K192,0)</f>
        <v>0</v>
      </c>
      <c r="AK192" s="48">
        <f>IF(AN192=15,K192,0)</f>
        <v>0</v>
      </c>
      <c r="AL192" s="48">
        <f>IF(AN192=21,K192,0)</f>
        <v>0</v>
      </c>
      <c r="AN192" s="30">
        <v>21</v>
      </c>
      <c r="AO192" s="30">
        <f>H192*0.757638888888889</f>
        <v>0</v>
      </c>
      <c r="AP192" s="30">
        <f>H192*(1-0.757638888888889)</f>
        <v>0</v>
      </c>
      <c r="AQ192" s="58" t="s">
        <v>92</v>
      </c>
      <c r="AV192" s="30">
        <f>AW192+AX192</f>
        <v>0</v>
      </c>
      <c r="AW192" s="30">
        <f>G192*AO192</f>
        <v>0</v>
      </c>
      <c r="AX192" s="30">
        <f>G192*AP192</f>
        <v>0</v>
      </c>
      <c r="AY192" s="61" t="s">
        <v>460</v>
      </c>
      <c r="AZ192" s="61" t="s">
        <v>472</v>
      </c>
      <c r="BA192" s="57" t="s">
        <v>476</v>
      </c>
      <c r="BC192" s="30">
        <f>AW192+AX192</f>
        <v>0</v>
      </c>
      <c r="BD192" s="30">
        <f>H192/(100-BE192)*100</f>
        <v>0</v>
      </c>
      <c r="BE192" s="30">
        <v>0</v>
      </c>
      <c r="BF192" s="30">
        <f>192</f>
        <v>192</v>
      </c>
      <c r="BH192" s="48">
        <f>G192*AO192</f>
        <v>0</v>
      </c>
      <c r="BI192" s="48">
        <f>G192*AP192</f>
        <v>0</v>
      </c>
      <c r="BJ192" s="48">
        <f>G192*H192</f>
        <v>0</v>
      </c>
    </row>
    <row r="193" spans="1:62" x14ac:dyDescent="0.2">
      <c r="B193" s="45" t="s">
        <v>166</v>
      </c>
      <c r="C193" s="133" t="s">
        <v>394</v>
      </c>
      <c r="D193" s="134"/>
      <c r="E193" s="134"/>
      <c r="F193" s="134"/>
      <c r="G193" s="134"/>
      <c r="H193" s="134"/>
      <c r="I193" s="134"/>
      <c r="J193" s="134"/>
      <c r="K193" s="134"/>
      <c r="L193" s="134"/>
    </row>
    <row r="194" spans="1:62" x14ac:dyDescent="0.2">
      <c r="C194" s="135" t="s">
        <v>309</v>
      </c>
      <c r="D194" s="136"/>
      <c r="E194" s="136"/>
      <c r="G194" s="49">
        <v>1</v>
      </c>
    </row>
    <row r="195" spans="1:62" x14ac:dyDescent="0.2">
      <c r="A195" s="38" t="s">
        <v>152</v>
      </c>
      <c r="B195" s="38" t="s">
        <v>246</v>
      </c>
      <c r="C195" s="131" t="s">
        <v>395</v>
      </c>
      <c r="D195" s="132"/>
      <c r="E195" s="132"/>
      <c r="F195" s="38" t="s">
        <v>421</v>
      </c>
      <c r="G195" s="48">
        <v>1</v>
      </c>
      <c r="H195" s="148">
        <v>0</v>
      </c>
      <c r="I195" s="148">
        <f>G195*AO195</f>
        <v>0</v>
      </c>
      <c r="J195" s="148">
        <f>G195*AP195</f>
        <v>0</v>
      </c>
      <c r="K195" s="48">
        <f>G195*H195</f>
        <v>0</v>
      </c>
      <c r="L195" s="58" t="s">
        <v>434</v>
      </c>
      <c r="Z195" s="30">
        <f>IF(AQ195="5",BJ195,0)</f>
        <v>0</v>
      </c>
      <c r="AB195" s="30">
        <f>IF(AQ195="1",BH195,0)</f>
        <v>0</v>
      </c>
      <c r="AC195" s="30">
        <f>IF(AQ195="1",BI195,0)</f>
        <v>0</v>
      </c>
      <c r="AD195" s="30">
        <f>IF(AQ195="7",BH195,0)</f>
        <v>0</v>
      </c>
      <c r="AE195" s="30">
        <f>IF(AQ195="7",BI195,0)</f>
        <v>0</v>
      </c>
      <c r="AF195" s="30">
        <f>IF(AQ195="2",BH195,0)</f>
        <v>0</v>
      </c>
      <c r="AG195" s="30">
        <f>IF(AQ195="2",BI195,0)</f>
        <v>0</v>
      </c>
      <c r="AH195" s="30">
        <f>IF(AQ195="0",BJ195,0)</f>
        <v>0</v>
      </c>
      <c r="AI195" s="57" t="s">
        <v>61</v>
      </c>
      <c r="AJ195" s="48">
        <f>IF(AN195=0,K195,0)</f>
        <v>0</v>
      </c>
      <c r="AK195" s="48">
        <f>IF(AN195=15,K195,0)</f>
        <v>0</v>
      </c>
      <c r="AL195" s="48">
        <f>IF(AN195=21,K195,0)</f>
        <v>0</v>
      </c>
      <c r="AN195" s="30">
        <v>21</v>
      </c>
      <c r="AO195" s="30">
        <f>H195*0.818568232662192</f>
        <v>0</v>
      </c>
      <c r="AP195" s="30">
        <f>H195*(1-0.818568232662192)</f>
        <v>0</v>
      </c>
      <c r="AQ195" s="58" t="s">
        <v>92</v>
      </c>
      <c r="AV195" s="30">
        <f>AW195+AX195</f>
        <v>0</v>
      </c>
      <c r="AW195" s="30">
        <f>G195*AO195</f>
        <v>0</v>
      </c>
      <c r="AX195" s="30">
        <f>G195*AP195</f>
        <v>0</v>
      </c>
      <c r="AY195" s="61" t="s">
        <v>460</v>
      </c>
      <c r="AZ195" s="61" t="s">
        <v>472</v>
      </c>
      <c r="BA195" s="57" t="s">
        <v>476</v>
      </c>
      <c r="BC195" s="30">
        <f>AW195+AX195</f>
        <v>0</v>
      </c>
      <c r="BD195" s="30">
        <f>H195/(100-BE195)*100</f>
        <v>0</v>
      </c>
      <c r="BE195" s="30">
        <v>0</v>
      </c>
      <c r="BF195" s="30">
        <f>195</f>
        <v>195</v>
      </c>
      <c r="BH195" s="48">
        <f>G195*AO195</f>
        <v>0</v>
      </c>
      <c r="BI195" s="48">
        <f>G195*AP195</f>
        <v>0</v>
      </c>
      <c r="BJ195" s="48">
        <f>G195*H195</f>
        <v>0</v>
      </c>
    </row>
    <row r="196" spans="1:62" x14ac:dyDescent="0.2">
      <c r="C196" s="135" t="s">
        <v>309</v>
      </c>
      <c r="D196" s="136"/>
      <c r="E196" s="136"/>
      <c r="G196" s="49">
        <v>1</v>
      </c>
    </row>
    <row r="197" spans="1:62" x14ac:dyDescent="0.2">
      <c r="A197" s="38" t="s">
        <v>153</v>
      </c>
      <c r="B197" s="38" t="s">
        <v>247</v>
      </c>
      <c r="C197" s="131" t="s">
        <v>396</v>
      </c>
      <c r="D197" s="132"/>
      <c r="E197" s="132"/>
      <c r="F197" s="38" t="s">
        <v>421</v>
      </c>
      <c r="G197" s="48">
        <v>1</v>
      </c>
      <c r="H197" s="148">
        <v>0</v>
      </c>
      <c r="I197" s="148">
        <f>G197*AO197</f>
        <v>0</v>
      </c>
      <c r="J197" s="148">
        <f>G197*AP197</f>
        <v>0</v>
      </c>
      <c r="K197" s="48">
        <f>G197*H197</f>
        <v>0</v>
      </c>
      <c r="L197" s="58" t="s">
        <v>434</v>
      </c>
      <c r="Z197" s="30">
        <f>IF(AQ197="5",BJ197,0)</f>
        <v>0</v>
      </c>
      <c r="AB197" s="30">
        <f>IF(AQ197="1",BH197,0)</f>
        <v>0</v>
      </c>
      <c r="AC197" s="30">
        <f>IF(AQ197="1",BI197,0)</f>
        <v>0</v>
      </c>
      <c r="AD197" s="30">
        <f>IF(AQ197="7",BH197,0)</f>
        <v>0</v>
      </c>
      <c r="AE197" s="30">
        <f>IF(AQ197="7",BI197,0)</f>
        <v>0</v>
      </c>
      <c r="AF197" s="30">
        <f>IF(AQ197="2",BH197,0)</f>
        <v>0</v>
      </c>
      <c r="AG197" s="30">
        <f>IF(AQ197="2",BI197,0)</f>
        <v>0</v>
      </c>
      <c r="AH197" s="30">
        <f>IF(AQ197="0",BJ197,0)</f>
        <v>0</v>
      </c>
      <c r="AI197" s="57" t="s">
        <v>61</v>
      </c>
      <c r="AJ197" s="48">
        <f>IF(AN197=0,K197,0)</f>
        <v>0</v>
      </c>
      <c r="AK197" s="48">
        <f>IF(AN197=15,K197,0)</f>
        <v>0</v>
      </c>
      <c r="AL197" s="48">
        <f>IF(AN197=21,K197,0)</f>
        <v>0</v>
      </c>
      <c r="AN197" s="30">
        <v>21</v>
      </c>
      <c r="AO197" s="30">
        <f>H197*0.631363636363636</f>
        <v>0</v>
      </c>
      <c r="AP197" s="30">
        <f>H197*(1-0.631363636363636)</f>
        <v>0</v>
      </c>
      <c r="AQ197" s="58" t="s">
        <v>92</v>
      </c>
      <c r="AV197" s="30">
        <f>AW197+AX197</f>
        <v>0</v>
      </c>
      <c r="AW197" s="30">
        <f>G197*AO197</f>
        <v>0</v>
      </c>
      <c r="AX197" s="30">
        <f>G197*AP197</f>
        <v>0</v>
      </c>
      <c r="AY197" s="61" t="s">
        <v>460</v>
      </c>
      <c r="AZ197" s="61" t="s">
        <v>472</v>
      </c>
      <c r="BA197" s="57" t="s">
        <v>476</v>
      </c>
      <c r="BC197" s="30">
        <f>AW197+AX197</f>
        <v>0</v>
      </c>
      <c r="BD197" s="30">
        <f>H197/(100-BE197)*100</f>
        <v>0</v>
      </c>
      <c r="BE197" s="30">
        <v>0</v>
      </c>
      <c r="BF197" s="30">
        <f>197</f>
        <v>197</v>
      </c>
      <c r="BH197" s="48">
        <f>G197*AO197</f>
        <v>0</v>
      </c>
      <c r="BI197" s="48">
        <f>G197*AP197</f>
        <v>0</v>
      </c>
      <c r="BJ197" s="48">
        <f>G197*H197</f>
        <v>0</v>
      </c>
    </row>
    <row r="198" spans="1:62" x14ac:dyDescent="0.2">
      <c r="C198" s="135" t="s">
        <v>309</v>
      </c>
      <c r="D198" s="136"/>
      <c r="E198" s="136"/>
      <c r="G198" s="49">
        <v>1</v>
      </c>
    </row>
    <row r="199" spans="1:62" x14ac:dyDescent="0.2">
      <c r="A199" s="37"/>
      <c r="B199" s="44" t="s">
        <v>248</v>
      </c>
      <c r="C199" s="129" t="s">
        <v>397</v>
      </c>
      <c r="D199" s="130"/>
      <c r="E199" s="130"/>
      <c r="F199" s="37" t="s">
        <v>58</v>
      </c>
      <c r="G199" s="37" t="s">
        <v>58</v>
      </c>
      <c r="H199" s="37" t="s">
        <v>58</v>
      </c>
      <c r="I199" s="63">
        <f>SUM(I200:I209)</f>
        <v>0</v>
      </c>
      <c r="J199" s="63">
        <f>SUM(J200:J209)</f>
        <v>0</v>
      </c>
      <c r="K199" s="63">
        <f>SUM(K200:K209)</f>
        <v>0</v>
      </c>
      <c r="L199" s="57"/>
      <c r="AI199" s="57" t="s">
        <v>61</v>
      </c>
      <c r="AS199" s="63">
        <f>SUM(AJ200:AJ209)</f>
        <v>0</v>
      </c>
      <c r="AT199" s="63">
        <f>SUM(AK200:AK209)</f>
        <v>0</v>
      </c>
      <c r="AU199" s="63">
        <f>SUM(AL200:AL209)</f>
        <v>0</v>
      </c>
    </row>
    <row r="200" spans="1:62" x14ac:dyDescent="0.2">
      <c r="A200" s="38" t="s">
        <v>154</v>
      </c>
      <c r="B200" s="38" t="s">
        <v>249</v>
      </c>
      <c r="C200" s="131" t="s">
        <v>398</v>
      </c>
      <c r="D200" s="132"/>
      <c r="E200" s="132"/>
      <c r="F200" s="38" t="s">
        <v>421</v>
      </c>
      <c r="G200" s="48">
        <v>1</v>
      </c>
      <c r="H200" s="148">
        <v>0</v>
      </c>
      <c r="I200" s="148">
        <f>G200*AO200</f>
        <v>0</v>
      </c>
      <c r="J200" s="148">
        <f>G200*AP200</f>
        <v>0</v>
      </c>
      <c r="K200" s="48">
        <f>G200*H200</f>
        <v>0</v>
      </c>
      <c r="L200" s="58" t="s">
        <v>434</v>
      </c>
      <c r="Z200" s="30">
        <f>IF(AQ200="5",BJ200,0)</f>
        <v>0</v>
      </c>
      <c r="AB200" s="30">
        <f>IF(AQ200="1",BH200,0)</f>
        <v>0</v>
      </c>
      <c r="AC200" s="30">
        <f>IF(AQ200="1",BI200,0)</f>
        <v>0</v>
      </c>
      <c r="AD200" s="30">
        <f>IF(AQ200="7",BH200,0)</f>
        <v>0</v>
      </c>
      <c r="AE200" s="30">
        <f>IF(AQ200="7",BI200,0)</f>
        <v>0</v>
      </c>
      <c r="AF200" s="30">
        <f>IF(AQ200="2",BH200,0)</f>
        <v>0</v>
      </c>
      <c r="AG200" s="30">
        <f>IF(AQ200="2",BI200,0)</f>
        <v>0</v>
      </c>
      <c r="AH200" s="30">
        <f>IF(AQ200="0",BJ200,0)</f>
        <v>0</v>
      </c>
      <c r="AI200" s="57" t="s">
        <v>61</v>
      </c>
      <c r="AJ200" s="48">
        <f>IF(AN200=0,K200,0)</f>
        <v>0</v>
      </c>
      <c r="AK200" s="48">
        <f>IF(AN200=15,K200,0)</f>
        <v>0</v>
      </c>
      <c r="AL200" s="48">
        <f>IF(AN200=21,K200,0)</f>
        <v>0</v>
      </c>
      <c r="AN200" s="30">
        <v>21</v>
      </c>
      <c r="AO200" s="30">
        <f>H200*0</f>
        <v>0</v>
      </c>
      <c r="AP200" s="30">
        <f>H200*(1-0)</f>
        <v>0</v>
      </c>
      <c r="AQ200" s="58" t="s">
        <v>92</v>
      </c>
      <c r="AV200" s="30">
        <f>AW200+AX200</f>
        <v>0</v>
      </c>
      <c r="AW200" s="30">
        <f>G200*AO200</f>
        <v>0</v>
      </c>
      <c r="AX200" s="30">
        <f>G200*AP200</f>
        <v>0</v>
      </c>
      <c r="AY200" s="61" t="s">
        <v>461</v>
      </c>
      <c r="AZ200" s="61" t="s">
        <v>472</v>
      </c>
      <c r="BA200" s="57" t="s">
        <v>476</v>
      </c>
      <c r="BC200" s="30">
        <f>AW200+AX200</f>
        <v>0</v>
      </c>
      <c r="BD200" s="30">
        <f>H200/(100-BE200)*100</f>
        <v>0</v>
      </c>
      <c r="BE200" s="30">
        <v>0</v>
      </c>
      <c r="BF200" s="30">
        <f>200</f>
        <v>200</v>
      </c>
      <c r="BH200" s="48">
        <f>G200*AO200</f>
        <v>0</v>
      </c>
      <c r="BI200" s="48">
        <f>G200*AP200</f>
        <v>0</v>
      </c>
      <c r="BJ200" s="48">
        <f>G200*H200</f>
        <v>0</v>
      </c>
    </row>
    <row r="201" spans="1:62" x14ac:dyDescent="0.2">
      <c r="C201" s="135" t="s">
        <v>309</v>
      </c>
      <c r="D201" s="136"/>
      <c r="E201" s="136"/>
      <c r="G201" s="49">
        <v>1</v>
      </c>
    </row>
    <row r="202" spans="1:62" x14ac:dyDescent="0.2">
      <c r="A202" s="38" t="s">
        <v>75</v>
      </c>
      <c r="B202" s="38" t="s">
        <v>250</v>
      </c>
      <c r="C202" s="131" t="s">
        <v>399</v>
      </c>
      <c r="D202" s="132"/>
      <c r="E202" s="132"/>
      <c r="F202" s="38" t="s">
        <v>421</v>
      </c>
      <c r="G202" s="48">
        <v>1</v>
      </c>
      <c r="H202" s="148">
        <v>0</v>
      </c>
      <c r="I202" s="148">
        <f>G202*AO202</f>
        <v>0</v>
      </c>
      <c r="J202" s="148">
        <f>G202*AP202</f>
        <v>0</v>
      </c>
      <c r="K202" s="48">
        <f>G202*H202</f>
        <v>0</v>
      </c>
      <c r="L202" s="58" t="s">
        <v>434</v>
      </c>
      <c r="Z202" s="30">
        <f>IF(AQ202="5",BJ202,0)</f>
        <v>0</v>
      </c>
      <c r="AB202" s="30">
        <f>IF(AQ202="1",BH202,0)</f>
        <v>0</v>
      </c>
      <c r="AC202" s="30">
        <f>IF(AQ202="1",BI202,0)</f>
        <v>0</v>
      </c>
      <c r="AD202" s="30">
        <f>IF(AQ202="7",BH202,0)</f>
        <v>0</v>
      </c>
      <c r="AE202" s="30">
        <f>IF(AQ202="7",BI202,0)</f>
        <v>0</v>
      </c>
      <c r="AF202" s="30">
        <f>IF(AQ202="2",BH202,0)</f>
        <v>0</v>
      </c>
      <c r="AG202" s="30">
        <f>IF(AQ202="2",BI202,0)</f>
        <v>0</v>
      </c>
      <c r="AH202" s="30">
        <f>IF(AQ202="0",BJ202,0)</f>
        <v>0</v>
      </c>
      <c r="AI202" s="57" t="s">
        <v>61</v>
      </c>
      <c r="AJ202" s="48">
        <f>IF(AN202=0,K202,0)</f>
        <v>0</v>
      </c>
      <c r="AK202" s="48">
        <f>IF(AN202=15,K202,0)</f>
        <v>0</v>
      </c>
      <c r="AL202" s="48">
        <f>IF(AN202=21,K202,0)</f>
        <v>0</v>
      </c>
      <c r="AN202" s="30">
        <v>21</v>
      </c>
      <c r="AO202" s="30">
        <f>H202*0.00845901639344262</f>
        <v>0</v>
      </c>
      <c r="AP202" s="30">
        <f>H202*(1-0.00845901639344262)</f>
        <v>0</v>
      </c>
      <c r="AQ202" s="58" t="s">
        <v>92</v>
      </c>
      <c r="AV202" s="30">
        <f>AW202+AX202</f>
        <v>0</v>
      </c>
      <c r="AW202" s="30">
        <f>G202*AO202</f>
        <v>0</v>
      </c>
      <c r="AX202" s="30">
        <f>G202*AP202</f>
        <v>0</v>
      </c>
      <c r="AY202" s="61" t="s">
        <v>461</v>
      </c>
      <c r="AZ202" s="61" t="s">
        <v>472</v>
      </c>
      <c r="BA202" s="57" t="s">
        <v>476</v>
      </c>
      <c r="BC202" s="30">
        <f>AW202+AX202</f>
        <v>0</v>
      </c>
      <c r="BD202" s="30">
        <f>H202/(100-BE202)*100</f>
        <v>0</v>
      </c>
      <c r="BE202" s="30">
        <v>0</v>
      </c>
      <c r="BF202" s="30">
        <f>202</f>
        <v>202</v>
      </c>
      <c r="BH202" s="48">
        <f>G202*AO202</f>
        <v>0</v>
      </c>
      <c r="BI202" s="48">
        <f>G202*AP202</f>
        <v>0</v>
      </c>
      <c r="BJ202" s="48">
        <f>G202*H202</f>
        <v>0</v>
      </c>
    </row>
    <row r="203" spans="1:62" x14ac:dyDescent="0.2">
      <c r="C203" s="135" t="s">
        <v>309</v>
      </c>
      <c r="D203" s="136"/>
      <c r="E203" s="136"/>
      <c r="G203" s="49">
        <v>1</v>
      </c>
    </row>
    <row r="204" spans="1:62" x14ac:dyDescent="0.2">
      <c r="A204" s="38" t="s">
        <v>78</v>
      </c>
      <c r="B204" s="38" t="s">
        <v>251</v>
      </c>
      <c r="C204" s="131" t="s">
        <v>400</v>
      </c>
      <c r="D204" s="132"/>
      <c r="E204" s="132"/>
      <c r="F204" s="38" t="s">
        <v>421</v>
      </c>
      <c r="G204" s="48">
        <v>1</v>
      </c>
      <c r="H204" s="148">
        <v>0</v>
      </c>
      <c r="I204" s="148">
        <f>G204*AO204</f>
        <v>0</v>
      </c>
      <c r="J204" s="148">
        <f>G204*AP204</f>
        <v>0</v>
      </c>
      <c r="K204" s="48">
        <f>G204*H204</f>
        <v>0</v>
      </c>
      <c r="L204" s="58" t="s">
        <v>434</v>
      </c>
      <c r="Z204" s="30">
        <f>IF(AQ204="5",BJ204,0)</f>
        <v>0</v>
      </c>
      <c r="AB204" s="30">
        <f>IF(AQ204="1",BH204,0)</f>
        <v>0</v>
      </c>
      <c r="AC204" s="30">
        <f>IF(AQ204="1",BI204,0)</f>
        <v>0</v>
      </c>
      <c r="AD204" s="30">
        <f>IF(AQ204="7",BH204,0)</f>
        <v>0</v>
      </c>
      <c r="AE204" s="30">
        <f>IF(AQ204="7",BI204,0)</f>
        <v>0</v>
      </c>
      <c r="AF204" s="30">
        <f>IF(AQ204="2",BH204,0)</f>
        <v>0</v>
      </c>
      <c r="AG204" s="30">
        <f>IF(AQ204="2",BI204,0)</f>
        <v>0</v>
      </c>
      <c r="AH204" s="30">
        <f>IF(AQ204="0",BJ204,0)</f>
        <v>0</v>
      </c>
      <c r="AI204" s="57" t="s">
        <v>61</v>
      </c>
      <c r="AJ204" s="48">
        <f>IF(AN204=0,K204,0)</f>
        <v>0</v>
      </c>
      <c r="AK204" s="48">
        <f>IF(AN204=15,K204,0)</f>
        <v>0</v>
      </c>
      <c r="AL204" s="48">
        <f>IF(AN204=21,K204,0)</f>
        <v>0</v>
      </c>
      <c r="AN204" s="30">
        <v>21</v>
      </c>
      <c r="AO204" s="30">
        <f>H204*0.9015317348378</f>
        <v>0</v>
      </c>
      <c r="AP204" s="30">
        <f>H204*(1-0.9015317348378)</f>
        <v>0</v>
      </c>
      <c r="AQ204" s="58" t="s">
        <v>92</v>
      </c>
      <c r="AV204" s="30">
        <f>AW204+AX204</f>
        <v>0</v>
      </c>
      <c r="AW204" s="30">
        <f>G204*AO204</f>
        <v>0</v>
      </c>
      <c r="AX204" s="30">
        <f>G204*AP204</f>
        <v>0</v>
      </c>
      <c r="AY204" s="61" t="s">
        <v>461</v>
      </c>
      <c r="AZ204" s="61" t="s">
        <v>472</v>
      </c>
      <c r="BA204" s="57" t="s">
        <v>476</v>
      </c>
      <c r="BC204" s="30">
        <f>AW204+AX204</f>
        <v>0</v>
      </c>
      <c r="BD204" s="30">
        <f>H204/(100-BE204)*100</f>
        <v>0</v>
      </c>
      <c r="BE204" s="30">
        <v>0</v>
      </c>
      <c r="BF204" s="30">
        <f>204</f>
        <v>204</v>
      </c>
      <c r="BH204" s="48">
        <f>G204*AO204</f>
        <v>0</v>
      </c>
      <c r="BI204" s="48">
        <f>G204*AP204</f>
        <v>0</v>
      </c>
      <c r="BJ204" s="48">
        <f>G204*H204</f>
        <v>0</v>
      </c>
    </row>
    <row r="205" spans="1:62" x14ac:dyDescent="0.2">
      <c r="B205" s="45" t="s">
        <v>166</v>
      </c>
      <c r="C205" s="133" t="s">
        <v>401</v>
      </c>
      <c r="D205" s="134"/>
      <c r="E205" s="134"/>
      <c r="F205" s="134"/>
      <c r="G205" s="134"/>
      <c r="H205" s="134"/>
      <c r="I205" s="134"/>
      <c r="J205" s="134"/>
      <c r="K205" s="134"/>
      <c r="L205" s="134"/>
    </row>
    <row r="206" spans="1:62" x14ac:dyDescent="0.2">
      <c r="C206" s="135" t="s">
        <v>309</v>
      </c>
      <c r="D206" s="136"/>
      <c r="E206" s="136"/>
      <c r="G206" s="49">
        <v>1</v>
      </c>
    </row>
    <row r="207" spans="1:62" x14ac:dyDescent="0.2">
      <c r="A207" s="38" t="s">
        <v>155</v>
      </c>
      <c r="B207" s="38" t="s">
        <v>252</v>
      </c>
      <c r="C207" s="131" t="s">
        <v>402</v>
      </c>
      <c r="D207" s="132"/>
      <c r="E207" s="132"/>
      <c r="F207" s="38" t="s">
        <v>421</v>
      </c>
      <c r="G207" s="48">
        <v>1</v>
      </c>
      <c r="H207" s="148">
        <v>0</v>
      </c>
      <c r="I207" s="148">
        <f>G207*AO207</f>
        <v>0</v>
      </c>
      <c r="J207" s="148">
        <f>G207*AP207</f>
        <v>0</v>
      </c>
      <c r="K207" s="48">
        <f>G207*H207</f>
        <v>0</v>
      </c>
      <c r="L207" s="58" t="s">
        <v>434</v>
      </c>
      <c r="Z207" s="30">
        <f>IF(AQ207="5",BJ207,0)</f>
        <v>0</v>
      </c>
      <c r="AB207" s="30">
        <f>IF(AQ207="1",BH207,0)</f>
        <v>0</v>
      </c>
      <c r="AC207" s="30">
        <f>IF(AQ207="1",BI207,0)</f>
        <v>0</v>
      </c>
      <c r="AD207" s="30">
        <f>IF(AQ207="7",BH207,0)</f>
        <v>0</v>
      </c>
      <c r="AE207" s="30">
        <f>IF(AQ207="7",BI207,0)</f>
        <v>0</v>
      </c>
      <c r="AF207" s="30">
        <f>IF(AQ207="2",BH207,0)</f>
        <v>0</v>
      </c>
      <c r="AG207" s="30">
        <f>IF(AQ207="2",BI207,0)</f>
        <v>0</v>
      </c>
      <c r="AH207" s="30">
        <f>IF(AQ207="0",BJ207,0)</f>
        <v>0</v>
      </c>
      <c r="AI207" s="57" t="s">
        <v>61</v>
      </c>
      <c r="AJ207" s="48">
        <f>IF(AN207=0,K207,0)</f>
        <v>0</v>
      </c>
      <c r="AK207" s="48">
        <f>IF(AN207=15,K207,0)</f>
        <v>0</v>
      </c>
      <c r="AL207" s="48">
        <f>IF(AN207=21,K207,0)</f>
        <v>0</v>
      </c>
      <c r="AN207" s="30">
        <v>21</v>
      </c>
      <c r="AO207" s="30">
        <f>H207*0.211631520532741</f>
        <v>0</v>
      </c>
      <c r="AP207" s="30">
        <f>H207*(1-0.211631520532741)</f>
        <v>0</v>
      </c>
      <c r="AQ207" s="58" t="s">
        <v>92</v>
      </c>
      <c r="AV207" s="30">
        <f>AW207+AX207</f>
        <v>0</v>
      </c>
      <c r="AW207" s="30">
        <f>G207*AO207</f>
        <v>0</v>
      </c>
      <c r="AX207" s="30">
        <f>G207*AP207</f>
        <v>0</v>
      </c>
      <c r="AY207" s="61" t="s">
        <v>461</v>
      </c>
      <c r="AZ207" s="61" t="s">
        <v>472</v>
      </c>
      <c r="BA207" s="57" t="s">
        <v>476</v>
      </c>
      <c r="BC207" s="30">
        <f>AW207+AX207</f>
        <v>0</v>
      </c>
      <c r="BD207" s="30">
        <f>H207/(100-BE207)*100</f>
        <v>0</v>
      </c>
      <c r="BE207" s="30">
        <v>0</v>
      </c>
      <c r="BF207" s="30">
        <f>207</f>
        <v>207</v>
      </c>
      <c r="BH207" s="48">
        <f>G207*AO207</f>
        <v>0</v>
      </c>
      <c r="BI207" s="48">
        <f>G207*AP207</f>
        <v>0</v>
      </c>
      <c r="BJ207" s="48">
        <f>G207*H207</f>
        <v>0</v>
      </c>
    </row>
    <row r="208" spans="1:62" x14ac:dyDescent="0.2">
      <c r="C208" s="135" t="s">
        <v>309</v>
      </c>
      <c r="D208" s="136"/>
      <c r="E208" s="136"/>
      <c r="G208" s="49">
        <v>1</v>
      </c>
    </row>
    <row r="209" spans="1:62" x14ac:dyDescent="0.2">
      <c r="A209" s="38" t="s">
        <v>156</v>
      </c>
      <c r="B209" s="38" t="s">
        <v>253</v>
      </c>
      <c r="C209" s="131" t="s">
        <v>403</v>
      </c>
      <c r="D209" s="132"/>
      <c r="E209" s="132"/>
      <c r="F209" s="38" t="s">
        <v>421</v>
      </c>
      <c r="G209" s="48">
        <v>1</v>
      </c>
      <c r="H209" s="148">
        <v>0</v>
      </c>
      <c r="I209" s="148">
        <f>G209*AO209</f>
        <v>0</v>
      </c>
      <c r="J209" s="148">
        <f>G209*AP209</f>
        <v>0</v>
      </c>
      <c r="K209" s="48">
        <f>G209*H209</f>
        <v>0</v>
      </c>
      <c r="L209" s="58" t="s">
        <v>434</v>
      </c>
      <c r="Z209" s="30">
        <f>IF(AQ209="5",BJ209,0)</f>
        <v>0</v>
      </c>
      <c r="AB209" s="30">
        <f>IF(AQ209="1",BH209,0)</f>
        <v>0</v>
      </c>
      <c r="AC209" s="30">
        <f>IF(AQ209="1",BI209,0)</f>
        <v>0</v>
      </c>
      <c r="AD209" s="30">
        <f>IF(AQ209="7",BH209,0)</f>
        <v>0</v>
      </c>
      <c r="AE209" s="30">
        <f>IF(AQ209="7",BI209,0)</f>
        <v>0</v>
      </c>
      <c r="AF209" s="30">
        <f>IF(AQ209="2",BH209,0)</f>
        <v>0</v>
      </c>
      <c r="AG209" s="30">
        <f>IF(AQ209="2",BI209,0)</f>
        <v>0</v>
      </c>
      <c r="AH209" s="30">
        <f>IF(AQ209="0",BJ209,0)</f>
        <v>0</v>
      </c>
      <c r="AI209" s="57" t="s">
        <v>61</v>
      </c>
      <c r="AJ209" s="48">
        <f>IF(AN209=0,K209,0)</f>
        <v>0</v>
      </c>
      <c r="AK209" s="48">
        <f>IF(AN209=15,K209,0)</f>
        <v>0</v>
      </c>
      <c r="AL209" s="48">
        <f>IF(AN209=21,K209,0)</f>
        <v>0</v>
      </c>
      <c r="AN209" s="30">
        <v>21</v>
      </c>
      <c r="AO209" s="30">
        <f>H209*0</f>
        <v>0</v>
      </c>
      <c r="AP209" s="30">
        <f>H209*(1-0)</f>
        <v>0</v>
      </c>
      <c r="AQ209" s="58" t="s">
        <v>92</v>
      </c>
      <c r="AV209" s="30">
        <f>AW209+AX209</f>
        <v>0</v>
      </c>
      <c r="AW209" s="30">
        <f>G209*AO209</f>
        <v>0</v>
      </c>
      <c r="AX209" s="30">
        <f>G209*AP209</f>
        <v>0</v>
      </c>
      <c r="AY209" s="61" t="s">
        <v>461</v>
      </c>
      <c r="AZ209" s="61" t="s">
        <v>472</v>
      </c>
      <c r="BA209" s="57" t="s">
        <v>476</v>
      </c>
      <c r="BC209" s="30">
        <f>AW209+AX209</f>
        <v>0</v>
      </c>
      <c r="BD209" s="30">
        <f>H209/(100-BE209)*100</f>
        <v>0</v>
      </c>
      <c r="BE209" s="30">
        <v>0</v>
      </c>
      <c r="BF209" s="30">
        <f>209</f>
        <v>209</v>
      </c>
      <c r="BH209" s="48">
        <f>G209*AO209</f>
        <v>0</v>
      </c>
      <c r="BI209" s="48">
        <f>G209*AP209</f>
        <v>0</v>
      </c>
      <c r="BJ209" s="48">
        <f>G209*H209</f>
        <v>0</v>
      </c>
    </row>
    <row r="210" spans="1:62" x14ac:dyDescent="0.2">
      <c r="C210" s="135" t="s">
        <v>309</v>
      </c>
      <c r="D210" s="136"/>
      <c r="E210" s="136"/>
      <c r="G210" s="49">
        <v>1</v>
      </c>
    </row>
    <row r="211" spans="1:62" x14ac:dyDescent="0.2">
      <c r="A211" s="37"/>
      <c r="B211" s="44" t="s">
        <v>222</v>
      </c>
      <c r="C211" s="129" t="s">
        <v>358</v>
      </c>
      <c r="D211" s="130"/>
      <c r="E211" s="130"/>
      <c r="F211" s="37" t="s">
        <v>58</v>
      </c>
      <c r="G211" s="37" t="s">
        <v>58</v>
      </c>
      <c r="H211" s="37" t="s">
        <v>58</v>
      </c>
      <c r="I211" s="63">
        <f>SUM(I212:I215)</f>
        <v>0</v>
      </c>
      <c r="J211" s="63">
        <f>SUM(J212:J215)</f>
        <v>0</v>
      </c>
      <c r="K211" s="63">
        <f>SUM(K212:K215)</f>
        <v>0</v>
      </c>
      <c r="L211" s="57"/>
      <c r="AI211" s="57" t="s">
        <v>61</v>
      </c>
      <c r="AS211" s="63">
        <f>SUM(AJ212:AJ215)</f>
        <v>0</v>
      </c>
      <c r="AT211" s="63">
        <f>SUM(AK212:AK215)</f>
        <v>0</v>
      </c>
      <c r="AU211" s="63">
        <f>SUM(AL212:AL215)</f>
        <v>0</v>
      </c>
    </row>
    <row r="212" spans="1:62" x14ac:dyDescent="0.2">
      <c r="A212" s="38" t="s">
        <v>157</v>
      </c>
      <c r="B212" s="38" t="s">
        <v>223</v>
      </c>
      <c r="C212" s="131" t="s">
        <v>404</v>
      </c>
      <c r="D212" s="132"/>
      <c r="E212" s="132"/>
      <c r="F212" s="38" t="s">
        <v>422</v>
      </c>
      <c r="G212" s="48">
        <v>6</v>
      </c>
      <c r="H212" s="148">
        <v>0</v>
      </c>
      <c r="I212" s="148">
        <f>G212*AO212</f>
        <v>0</v>
      </c>
      <c r="J212" s="148">
        <f>G212*AP212</f>
        <v>0</v>
      </c>
      <c r="K212" s="48">
        <f>G212*H212</f>
        <v>0</v>
      </c>
      <c r="L212" s="58" t="s">
        <v>434</v>
      </c>
      <c r="Z212" s="30">
        <f>IF(AQ212="5",BJ212,0)</f>
        <v>0</v>
      </c>
      <c r="AB212" s="30">
        <f>IF(AQ212="1",BH212,0)</f>
        <v>0</v>
      </c>
      <c r="AC212" s="30">
        <f>IF(AQ212="1",BI212,0)</f>
        <v>0</v>
      </c>
      <c r="AD212" s="30">
        <f>IF(AQ212="7",BH212,0)</f>
        <v>0</v>
      </c>
      <c r="AE212" s="30">
        <f>IF(AQ212="7",BI212,0)</f>
        <v>0</v>
      </c>
      <c r="AF212" s="30">
        <f>IF(AQ212="2",BH212,0)</f>
        <v>0</v>
      </c>
      <c r="AG212" s="30">
        <f>IF(AQ212="2",BI212,0)</f>
        <v>0</v>
      </c>
      <c r="AH212" s="30">
        <f>IF(AQ212="0",BJ212,0)</f>
        <v>0</v>
      </c>
      <c r="AI212" s="57" t="s">
        <v>61</v>
      </c>
      <c r="AJ212" s="48">
        <f>IF(AN212=0,K212,0)</f>
        <v>0</v>
      </c>
      <c r="AK212" s="48">
        <f>IF(AN212=15,K212,0)</f>
        <v>0</v>
      </c>
      <c r="AL212" s="48">
        <f>IF(AN212=21,K212,0)</f>
        <v>0</v>
      </c>
      <c r="AN212" s="30">
        <v>21</v>
      </c>
      <c r="AO212" s="30">
        <f>H212*0.0470833333333333</f>
        <v>0</v>
      </c>
      <c r="AP212" s="30">
        <f>H212*(1-0.0470833333333333)</f>
        <v>0</v>
      </c>
      <c r="AQ212" s="58" t="s">
        <v>87</v>
      </c>
      <c r="AV212" s="30">
        <f>AW212+AX212</f>
        <v>0</v>
      </c>
      <c r="AW212" s="30">
        <f>G212*AO212</f>
        <v>0</v>
      </c>
      <c r="AX212" s="30">
        <f>G212*AP212</f>
        <v>0</v>
      </c>
      <c r="AY212" s="61" t="s">
        <v>453</v>
      </c>
      <c r="AZ212" s="61" t="s">
        <v>473</v>
      </c>
      <c r="BA212" s="57" t="s">
        <v>476</v>
      </c>
      <c r="BC212" s="30">
        <f>AW212+AX212</f>
        <v>0</v>
      </c>
      <c r="BD212" s="30">
        <f>H212/(100-BE212)*100</f>
        <v>0</v>
      </c>
      <c r="BE212" s="30">
        <v>0</v>
      </c>
      <c r="BF212" s="30">
        <f>212</f>
        <v>212</v>
      </c>
      <c r="BH212" s="48">
        <f>G212*AO212</f>
        <v>0</v>
      </c>
      <c r="BI212" s="48">
        <f>G212*AP212</f>
        <v>0</v>
      </c>
      <c r="BJ212" s="48">
        <f>G212*H212</f>
        <v>0</v>
      </c>
    </row>
    <row r="213" spans="1:62" x14ac:dyDescent="0.2">
      <c r="C213" s="135" t="s">
        <v>291</v>
      </c>
      <c r="D213" s="136"/>
      <c r="E213" s="136"/>
      <c r="G213" s="49">
        <v>6</v>
      </c>
    </row>
    <row r="214" spans="1:62" x14ac:dyDescent="0.2">
      <c r="B214" s="45" t="s">
        <v>168</v>
      </c>
      <c r="C214" s="137" t="s">
        <v>360</v>
      </c>
      <c r="D214" s="138"/>
      <c r="E214" s="138"/>
      <c r="F214" s="138"/>
      <c r="G214" s="138"/>
      <c r="H214" s="138"/>
      <c r="I214" s="138"/>
      <c r="J214" s="138"/>
      <c r="K214" s="138"/>
      <c r="L214" s="138"/>
    </row>
    <row r="215" spans="1:62" x14ac:dyDescent="0.2">
      <c r="A215" s="38" t="s">
        <v>158</v>
      </c>
      <c r="B215" s="38" t="s">
        <v>224</v>
      </c>
      <c r="C215" s="131" t="s">
        <v>361</v>
      </c>
      <c r="D215" s="132"/>
      <c r="E215" s="132"/>
      <c r="F215" s="38" t="s">
        <v>423</v>
      </c>
      <c r="G215" s="48">
        <v>0.13</v>
      </c>
      <c r="H215" s="148">
        <v>0</v>
      </c>
      <c r="I215" s="148">
        <f>G215*AO215</f>
        <v>0</v>
      </c>
      <c r="J215" s="148">
        <f>G215*AP215</f>
        <v>0</v>
      </c>
      <c r="K215" s="48">
        <f>G215*H215</f>
        <v>0</v>
      </c>
      <c r="L215" s="58" t="s">
        <v>434</v>
      </c>
      <c r="Z215" s="30">
        <f>IF(AQ215="5",BJ215,0)</f>
        <v>0</v>
      </c>
      <c r="AB215" s="30">
        <f>IF(AQ215="1",BH215,0)</f>
        <v>0</v>
      </c>
      <c r="AC215" s="30">
        <f>IF(AQ215="1",BI215,0)</f>
        <v>0</v>
      </c>
      <c r="AD215" s="30">
        <f>IF(AQ215="7",BH215,0)</f>
        <v>0</v>
      </c>
      <c r="AE215" s="30">
        <f>IF(AQ215="7",BI215,0)</f>
        <v>0</v>
      </c>
      <c r="AF215" s="30">
        <f>IF(AQ215="2",BH215,0)</f>
        <v>0</v>
      </c>
      <c r="AG215" s="30">
        <f>IF(AQ215="2",BI215,0)</f>
        <v>0</v>
      </c>
      <c r="AH215" s="30">
        <f>IF(AQ215="0",BJ215,0)</f>
        <v>0</v>
      </c>
      <c r="AI215" s="57" t="s">
        <v>61</v>
      </c>
      <c r="AJ215" s="48">
        <f>IF(AN215=0,K215,0)</f>
        <v>0</v>
      </c>
      <c r="AK215" s="48">
        <f>IF(AN215=15,K215,0)</f>
        <v>0</v>
      </c>
      <c r="AL215" s="48">
        <f>IF(AN215=21,K215,0)</f>
        <v>0</v>
      </c>
      <c r="AN215" s="30">
        <v>21</v>
      </c>
      <c r="AO215" s="30">
        <f>H215*0</f>
        <v>0</v>
      </c>
      <c r="AP215" s="30">
        <f>H215*(1-0)</f>
        <v>0</v>
      </c>
      <c r="AQ215" s="58" t="s">
        <v>87</v>
      </c>
      <c r="AV215" s="30">
        <f>AW215+AX215</f>
        <v>0</v>
      </c>
      <c r="AW215" s="30">
        <f>G215*AO215</f>
        <v>0</v>
      </c>
      <c r="AX215" s="30">
        <f>G215*AP215</f>
        <v>0</v>
      </c>
      <c r="AY215" s="61" t="s">
        <v>453</v>
      </c>
      <c r="AZ215" s="61" t="s">
        <v>473</v>
      </c>
      <c r="BA215" s="57" t="s">
        <v>476</v>
      </c>
      <c r="BC215" s="30">
        <f>AW215+AX215</f>
        <v>0</v>
      </c>
      <c r="BD215" s="30">
        <f>H215/(100-BE215)*100</f>
        <v>0</v>
      </c>
      <c r="BE215" s="30">
        <v>0</v>
      </c>
      <c r="BF215" s="30">
        <f>215</f>
        <v>215</v>
      </c>
      <c r="BH215" s="48">
        <f>G215*AO215</f>
        <v>0</v>
      </c>
      <c r="BI215" s="48">
        <f>G215*AP215</f>
        <v>0</v>
      </c>
      <c r="BJ215" s="48">
        <f>G215*H215</f>
        <v>0</v>
      </c>
    </row>
    <row r="216" spans="1:62" x14ac:dyDescent="0.2">
      <c r="C216" s="135" t="s">
        <v>405</v>
      </c>
      <c r="D216" s="136"/>
      <c r="E216" s="136"/>
      <c r="G216" s="49">
        <v>0.13</v>
      </c>
    </row>
    <row r="217" spans="1:62" x14ac:dyDescent="0.2">
      <c r="A217" s="37"/>
      <c r="B217" s="44" t="s">
        <v>254</v>
      </c>
      <c r="C217" s="129" t="s">
        <v>384</v>
      </c>
      <c r="D217" s="130"/>
      <c r="E217" s="130"/>
      <c r="F217" s="37" t="s">
        <v>58</v>
      </c>
      <c r="G217" s="37" t="s">
        <v>58</v>
      </c>
      <c r="H217" s="37" t="s">
        <v>58</v>
      </c>
      <c r="I217" s="63">
        <f>SUM(I218:I218)</f>
        <v>0</v>
      </c>
      <c r="J217" s="63">
        <f>SUM(J218:J218)</f>
        <v>0</v>
      </c>
      <c r="K217" s="63">
        <f>SUM(K218:K218)</f>
        <v>0</v>
      </c>
      <c r="L217" s="57"/>
      <c r="AI217" s="57" t="s">
        <v>61</v>
      </c>
      <c r="AS217" s="63">
        <f>SUM(AJ218:AJ218)</f>
        <v>0</v>
      </c>
      <c r="AT217" s="63">
        <f>SUM(AK218:AK218)</f>
        <v>0</v>
      </c>
      <c r="AU217" s="63">
        <f>SUM(AL218:AL218)</f>
        <v>0</v>
      </c>
    </row>
    <row r="218" spans="1:62" x14ac:dyDescent="0.2">
      <c r="A218" s="38" t="s">
        <v>159</v>
      </c>
      <c r="B218" s="38" t="s">
        <v>255</v>
      </c>
      <c r="C218" s="131" t="s">
        <v>406</v>
      </c>
      <c r="D218" s="132"/>
      <c r="E218" s="132"/>
      <c r="F218" s="38" t="s">
        <v>423</v>
      </c>
      <c r="G218" s="48">
        <v>0.02</v>
      </c>
      <c r="H218" s="148">
        <v>0</v>
      </c>
      <c r="I218" s="148">
        <f>G218*AO218</f>
        <v>0</v>
      </c>
      <c r="J218" s="148">
        <f>G218*AP218</f>
        <v>0</v>
      </c>
      <c r="K218" s="48">
        <f>G218*H218</f>
        <v>0</v>
      </c>
      <c r="L218" s="58" t="s">
        <v>434</v>
      </c>
      <c r="Z218" s="30">
        <f>IF(AQ218="5",BJ218,0)</f>
        <v>0</v>
      </c>
      <c r="AB218" s="30">
        <f>IF(AQ218="1",BH218,0)</f>
        <v>0</v>
      </c>
      <c r="AC218" s="30">
        <f>IF(AQ218="1",BI218,0)</f>
        <v>0</v>
      </c>
      <c r="AD218" s="30">
        <f>IF(AQ218="7",BH218,0)</f>
        <v>0</v>
      </c>
      <c r="AE218" s="30">
        <f>IF(AQ218="7",BI218,0)</f>
        <v>0</v>
      </c>
      <c r="AF218" s="30">
        <f>IF(AQ218="2",BH218,0)</f>
        <v>0</v>
      </c>
      <c r="AG218" s="30">
        <f>IF(AQ218="2",BI218,0)</f>
        <v>0</v>
      </c>
      <c r="AH218" s="30">
        <f>IF(AQ218="0",BJ218,0)</f>
        <v>0</v>
      </c>
      <c r="AI218" s="57" t="s">
        <v>61</v>
      </c>
      <c r="AJ218" s="48">
        <f>IF(AN218=0,K218,0)</f>
        <v>0</v>
      </c>
      <c r="AK218" s="48">
        <f>IF(AN218=15,K218,0)</f>
        <v>0</v>
      </c>
      <c r="AL218" s="48">
        <f>IF(AN218=21,K218,0)</f>
        <v>0</v>
      </c>
      <c r="AN218" s="30">
        <v>21</v>
      </c>
      <c r="AO218" s="30">
        <f>H218*0</f>
        <v>0</v>
      </c>
      <c r="AP218" s="30">
        <f>H218*(1-0)</f>
        <v>0</v>
      </c>
      <c r="AQ218" s="58" t="s">
        <v>91</v>
      </c>
      <c r="AV218" s="30">
        <f>AW218+AX218</f>
        <v>0</v>
      </c>
      <c r="AW218" s="30">
        <f>G218*AO218</f>
        <v>0</v>
      </c>
      <c r="AX218" s="30">
        <f>G218*AP218</f>
        <v>0</v>
      </c>
      <c r="AY218" s="61" t="s">
        <v>462</v>
      </c>
      <c r="AZ218" s="61" t="s">
        <v>473</v>
      </c>
      <c r="BA218" s="57" t="s">
        <v>476</v>
      </c>
      <c r="BC218" s="30">
        <f>AW218+AX218</f>
        <v>0</v>
      </c>
      <c r="BD218" s="30">
        <f>H218/(100-BE218)*100</f>
        <v>0</v>
      </c>
      <c r="BE218" s="30">
        <v>0</v>
      </c>
      <c r="BF218" s="30">
        <f>218</f>
        <v>218</v>
      </c>
      <c r="BH218" s="48">
        <f>G218*AO218</f>
        <v>0</v>
      </c>
      <c r="BI218" s="48">
        <f>G218*AP218</f>
        <v>0</v>
      </c>
      <c r="BJ218" s="48">
        <f>G218*H218</f>
        <v>0</v>
      </c>
    </row>
    <row r="219" spans="1:62" x14ac:dyDescent="0.2">
      <c r="C219" s="135" t="s">
        <v>407</v>
      </c>
      <c r="D219" s="136"/>
      <c r="E219" s="136"/>
      <c r="G219" s="49">
        <v>0.02</v>
      </c>
    </row>
    <row r="220" spans="1:62" x14ac:dyDescent="0.2">
      <c r="A220" s="37"/>
      <c r="B220" s="44" t="s">
        <v>256</v>
      </c>
      <c r="C220" s="129" t="s">
        <v>391</v>
      </c>
      <c r="D220" s="130"/>
      <c r="E220" s="130"/>
      <c r="F220" s="37" t="s">
        <v>58</v>
      </c>
      <c r="G220" s="37" t="s">
        <v>58</v>
      </c>
      <c r="H220" s="37" t="s">
        <v>58</v>
      </c>
      <c r="I220" s="63">
        <f>SUM(I221:I221)</f>
        <v>0</v>
      </c>
      <c r="J220" s="63">
        <f>SUM(J221:J221)</f>
        <v>0</v>
      </c>
      <c r="K220" s="63">
        <f>SUM(K221:K221)</f>
        <v>0</v>
      </c>
      <c r="L220" s="57"/>
      <c r="AI220" s="57" t="s">
        <v>61</v>
      </c>
      <c r="AS220" s="63">
        <f>SUM(AJ221:AJ221)</f>
        <v>0</v>
      </c>
      <c r="AT220" s="63">
        <f>SUM(AK221:AK221)</f>
        <v>0</v>
      </c>
      <c r="AU220" s="63">
        <f>SUM(AL221:AL221)</f>
        <v>0</v>
      </c>
    </row>
    <row r="221" spans="1:62" x14ac:dyDescent="0.2">
      <c r="A221" s="38" t="s">
        <v>160</v>
      </c>
      <c r="B221" s="38" t="s">
        <v>257</v>
      </c>
      <c r="C221" s="131" t="s">
        <v>408</v>
      </c>
      <c r="D221" s="132"/>
      <c r="E221" s="132"/>
      <c r="F221" s="38" t="s">
        <v>423</v>
      </c>
      <c r="G221" s="48">
        <v>0</v>
      </c>
      <c r="H221" s="148">
        <v>0</v>
      </c>
      <c r="I221" s="148">
        <f>G221*AO221</f>
        <v>0</v>
      </c>
      <c r="J221" s="148">
        <f>G221*AP221</f>
        <v>0</v>
      </c>
      <c r="K221" s="48">
        <f>G221*H221</f>
        <v>0</v>
      </c>
      <c r="L221" s="58" t="s">
        <v>434</v>
      </c>
      <c r="Z221" s="30">
        <f>IF(AQ221="5",BJ221,0)</f>
        <v>0</v>
      </c>
      <c r="AB221" s="30">
        <f>IF(AQ221="1",BH221,0)</f>
        <v>0</v>
      </c>
      <c r="AC221" s="30">
        <f>IF(AQ221="1",BI221,0)</f>
        <v>0</v>
      </c>
      <c r="AD221" s="30">
        <f>IF(AQ221="7",BH221,0)</f>
        <v>0</v>
      </c>
      <c r="AE221" s="30">
        <f>IF(AQ221="7",BI221,0)</f>
        <v>0</v>
      </c>
      <c r="AF221" s="30">
        <f>IF(AQ221="2",BH221,0)</f>
        <v>0</v>
      </c>
      <c r="AG221" s="30">
        <f>IF(AQ221="2",BI221,0)</f>
        <v>0</v>
      </c>
      <c r="AH221" s="30">
        <f>IF(AQ221="0",BJ221,0)</f>
        <v>0</v>
      </c>
      <c r="AI221" s="57" t="s">
        <v>61</v>
      </c>
      <c r="AJ221" s="48">
        <f>IF(AN221=0,K221,0)</f>
        <v>0</v>
      </c>
      <c r="AK221" s="48">
        <f>IF(AN221=15,K221,0)</f>
        <v>0</v>
      </c>
      <c r="AL221" s="48">
        <f>IF(AN221=21,K221,0)</f>
        <v>0</v>
      </c>
      <c r="AN221" s="30">
        <v>21</v>
      </c>
      <c r="AO221" s="30">
        <f>H221*0</f>
        <v>0</v>
      </c>
      <c r="AP221" s="30">
        <f>H221*(1-0)</f>
        <v>0</v>
      </c>
      <c r="AQ221" s="58" t="s">
        <v>91</v>
      </c>
      <c r="AV221" s="30">
        <f>AW221+AX221</f>
        <v>0</v>
      </c>
      <c r="AW221" s="30">
        <f>G221*AO221</f>
        <v>0</v>
      </c>
      <c r="AX221" s="30">
        <f>G221*AP221</f>
        <v>0</v>
      </c>
      <c r="AY221" s="61" t="s">
        <v>463</v>
      </c>
      <c r="AZ221" s="61" t="s">
        <v>473</v>
      </c>
      <c r="BA221" s="57" t="s">
        <v>476</v>
      </c>
      <c r="BC221" s="30">
        <f>AW221+AX221</f>
        <v>0</v>
      </c>
      <c r="BD221" s="30">
        <f>H221/(100-BE221)*100</f>
        <v>0</v>
      </c>
      <c r="BE221" s="30">
        <v>0</v>
      </c>
      <c r="BF221" s="30">
        <f>221</f>
        <v>221</v>
      </c>
      <c r="BH221" s="48">
        <f>G221*AO221</f>
        <v>0</v>
      </c>
      <c r="BI221" s="48">
        <f>G221*AP221</f>
        <v>0</v>
      </c>
      <c r="BJ221" s="48">
        <f>G221*H221</f>
        <v>0</v>
      </c>
    </row>
    <row r="222" spans="1:62" x14ac:dyDescent="0.2">
      <c r="C222" s="135" t="s">
        <v>409</v>
      </c>
      <c r="D222" s="136"/>
      <c r="E222" s="136"/>
      <c r="G222" s="49">
        <v>0</v>
      </c>
    </row>
    <row r="223" spans="1:62" x14ac:dyDescent="0.2">
      <c r="A223" s="37"/>
      <c r="B223" s="44" t="s">
        <v>258</v>
      </c>
      <c r="C223" s="129" t="s">
        <v>397</v>
      </c>
      <c r="D223" s="130"/>
      <c r="E223" s="130"/>
      <c r="F223" s="37" t="s">
        <v>58</v>
      </c>
      <c r="G223" s="37" t="s">
        <v>58</v>
      </c>
      <c r="H223" s="37" t="s">
        <v>58</v>
      </c>
      <c r="I223" s="63">
        <f>SUM(I224:I224)</f>
        <v>0</v>
      </c>
      <c r="J223" s="63">
        <f>SUM(J224:J224)</f>
        <v>0</v>
      </c>
      <c r="K223" s="63">
        <f>SUM(K224:K224)</f>
        <v>0</v>
      </c>
      <c r="L223" s="57"/>
      <c r="AI223" s="57" t="s">
        <v>61</v>
      </c>
      <c r="AS223" s="63">
        <f>SUM(AJ224:AJ224)</f>
        <v>0</v>
      </c>
      <c r="AT223" s="63">
        <f>SUM(AK224:AK224)</f>
        <v>0</v>
      </c>
      <c r="AU223" s="63">
        <f>SUM(AL224:AL224)</f>
        <v>0</v>
      </c>
    </row>
    <row r="224" spans="1:62" x14ac:dyDescent="0.2">
      <c r="A224" s="38" t="s">
        <v>161</v>
      </c>
      <c r="B224" s="38" t="s">
        <v>259</v>
      </c>
      <c r="C224" s="131" t="s">
        <v>410</v>
      </c>
      <c r="D224" s="132"/>
      <c r="E224" s="132"/>
      <c r="F224" s="38" t="s">
        <v>423</v>
      </c>
      <c r="G224" s="48">
        <v>0.01</v>
      </c>
      <c r="H224" s="148">
        <v>0</v>
      </c>
      <c r="I224" s="148">
        <f>G224*AO224</f>
        <v>0</v>
      </c>
      <c r="J224" s="148">
        <f>G224*AP224</f>
        <v>0</v>
      </c>
      <c r="K224" s="48">
        <f>G224*H224</f>
        <v>0</v>
      </c>
      <c r="L224" s="58" t="s">
        <v>434</v>
      </c>
      <c r="Z224" s="30">
        <f>IF(AQ224="5",BJ224,0)</f>
        <v>0</v>
      </c>
      <c r="AB224" s="30">
        <f>IF(AQ224="1",BH224,0)</f>
        <v>0</v>
      </c>
      <c r="AC224" s="30">
        <f>IF(AQ224="1",BI224,0)</f>
        <v>0</v>
      </c>
      <c r="AD224" s="30">
        <f>IF(AQ224="7",BH224,0)</f>
        <v>0</v>
      </c>
      <c r="AE224" s="30">
        <f>IF(AQ224="7",BI224,0)</f>
        <v>0</v>
      </c>
      <c r="AF224" s="30">
        <f>IF(AQ224="2",BH224,0)</f>
        <v>0</v>
      </c>
      <c r="AG224" s="30">
        <f>IF(AQ224="2",BI224,0)</f>
        <v>0</v>
      </c>
      <c r="AH224" s="30">
        <f>IF(AQ224="0",BJ224,0)</f>
        <v>0</v>
      </c>
      <c r="AI224" s="57" t="s">
        <v>61</v>
      </c>
      <c r="AJ224" s="48">
        <f>IF(AN224=0,K224,0)</f>
        <v>0</v>
      </c>
      <c r="AK224" s="48">
        <f>IF(AN224=15,K224,0)</f>
        <v>0</v>
      </c>
      <c r="AL224" s="48">
        <f>IF(AN224=21,K224,0)</f>
        <v>0</v>
      </c>
      <c r="AN224" s="30">
        <v>21</v>
      </c>
      <c r="AO224" s="30">
        <f>H224*0</f>
        <v>0</v>
      </c>
      <c r="AP224" s="30">
        <f>H224*(1-0)</f>
        <v>0</v>
      </c>
      <c r="AQ224" s="58" t="s">
        <v>91</v>
      </c>
      <c r="AV224" s="30">
        <f>AW224+AX224</f>
        <v>0</v>
      </c>
      <c r="AW224" s="30">
        <f>G224*AO224</f>
        <v>0</v>
      </c>
      <c r="AX224" s="30">
        <f>G224*AP224</f>
        <v>0</v>
      </c>
      <c r="AY224" s="61" t="s">
        <v>464</v>
      </c>
      <c r="AZ224" s="61" t="s">
        <v>473</v>
      </c>
      <c r="BA224" s="57" t="s">
        <v>476</v>
      </c>
      <c r="BC224" s="30">
        <f>AW224+AX224</f>
        <v>0</v>
      </c>
      <c r="BD224" s="30">
        <f>H224/(100-BE224)*100</f>
        <v>0</v>
      </c>
      <c r="BE224" s="30">
        <v>0</v>
      </c>
      <c r="BF224" s="30">
        <f>224</f>
        <v>224</v>
      </c>
      <c r="BH224" s="48">
        <f>G224*AO224</f>
        <v>0</v>
      </c>
      <c r="BI224" s="48">
        <f>G224*AP224</f>
        <v>0</v>
      </c>
      <c r="BJ224" s="48">
        <f>G224*H224</f>
        <v>0</v>
      </c>
    </row>
    <row r="225" spans="1:62" x14ac:dyDescent="0.2">
      <c r="C225" s="135" t="s">
        <v>411</v>
      </c>
      <c r="D225" s="136"/>
      <c r="E225" s="136"/>
      <c r="G225" s="49">
        <v>0.01</v>
      </c>
    </row>
    <row r="226" spans="1:62" x14ac:dyDescent="0.2">
      <c r="A226" s="37"/>
      <c r="B226" s="44" t="s">
        <v>231</v>
      </c>
      <c r="C226" s="129" t="s">
        <v>369</v>
      </c>
      <c r="D226" s="130"/>
      <c r="E226" s="130"/>
      <c r="F226" s="37" t="s">
        <v>58</v>
      </c>
      <c r="G226" s="37" t="s">
        <v>58</v>
      </c>
      <c r="H226" s="37" t="s">
        <v>58</v>
      </c>
      <c r="I226" s="63">
        <f>SUM(I227:I230)</f>
        <v>0</v>
      </c>
      <c r="J226" s="63">
        <f>SUM(J227:J230)</f>
        <v>0</v>
      </c>
      <c r="K226" s="63">
        <f>SUM(K227:K230)</f>
        <v>0</v>
      </c>
      <c r="L226" s="57"/>
      <c r="AI226" s="57" t="s">
        <v>61</v>
      </c>
      <c r="AS226" s="63">
        <f>SUM(AJ227:AJ230)</f>
        <v>0</v>
      </c>
      <c r="AT226" s="63">
        <f>SUM(AK227:AK230)</f>
        <v>0</v>
      </c>
      <c r="AU226" s="63">
        <f>SUM(AL227:AL230)</f>
        <v>0</v>
      </c>
    </row>
    <row r="227" spans="1:62" x14ac:dyDescent="0.2">
      <c r="A227" s="38" t="s">
        <v>162</v>
      </c>
      <c r="B227" s="38" t="s">
        <v>232</v>
      </c>
      <c r="C227" s="131" t="s">
        <v>370</v>
      </c>
      <c r="D227" s="132"/>
      <c r="E227" s="132"/>
      <c r="F227" s="38" t="s">
        <v>423</v>
      </c>
      <c r="G227" s="48">
        <v>0.13</v>
      </c>
      <c r="H227" s="148">
        <v>0</v>
      </c>
      <c r="I227" s="148">
        <f>G227*AO227</f>
        <v>0</v>
      </c>
      <c r="J227" s="148">
        <f>G227*AP227</f>
        <v>0</v>
      </c>
      <c r="K227" s="48">
        <f>G227*H227</f>
        <v>0</v>
      </c>
      <c r="L227" s="58" t="s">
        <v>434</v>
      </c>
      <c r="Z227" s="30">
        <f>IF(AQ227="5",BJ227,0)</f>
        <v>0</v>
      </c>
      <c r="AB227" s="30">
        <f>IF(AQ227="1",BH227,0)</f>
        <v>0</v>
      </c>
      <c r="AC227" s="30">
        <f>IF(AQ227="1",BI227,0)</f>
        <v>0</v>
      </c>
      <c r="AD227" s="30">
        <f>IF(AQ227="7",BH227,0)</f>
        <v>0</v>
      </c>
      <c r="AE227" s="30">
        <f>IF(AQ227="7",BI227,0)</f>
        <v>0</v>
      </c>
      <c r="AF227" s="30">
        <f>IF(AQ227="2",BH227,0)</f>
        <v>0</v>
      </c>
      <c r="AG227" s="30">
        <f>IF(AQ227="2",BI227,0)</f>
        <v>0</v>
      </c>
      <c r="AH227" s="30">
        <f>IF(AQ227="0",BJ227,0)</f>
        <v>0</v>
      </c>
      <c r="AI227" s="57" t="s">
        <v>61</v>
      </c>
      <c r="AJ227" s="48">
        <f>IF(AN227=0,K227,0)</f>
        <v>0</v>
      </c>
      <c r="AK227" s="48">
        <f>IF(AN227=15,K227,0)</f>
        <v>0</v>
      </c>
      <c r="AL227" s="48">
        <f>IF(AN227=21,K227,0)</f>
        <v>0</v>
      </c>
      <c r="AN227" s="30">
        <v>21</v>
      </c>
      <c r="AO227" s="30">
        <f>H227*0</f>
        <v>0</v>
      </c>
      <c r="AP227" s="30">
        <f>H227*(1-0)</f>
        <v>0</v>
      </c>
      <c r="AQ227" s="58" t="s">
        <v>91</v>
      </c>
      <c r="AV227" s="30">
        <f>AW227+AX227</f>
        <v>0</v>
      </c>
      <c r="AW227" s="30">
        <f>G227*AO227</f>
        <v>0</v>
      </c>
      <c r="AX227" s="30">
        <f>G227*AP227</f>
        <v>0</v>
      </c>
      <c r="AY227" s="61" t="s">
        <v>457</v>
      </c>
      <c r="AZ227" s="61" t="s">
        <v>473</v>
      </c>
      <c r="BA227" s="57" t="s">
        <v>476</v>
      </c>
      <c r="BC227" s="30">
        <f>AW227+AX227</f>
        <v>0</v>
      </c>
      <c r="BD227" s="30">
        <f>H227/(100-BE227)*100</f>
        <v>0</v>
      </c>
      <c r="BE227" s="30">
        <v>0</v>
      </c>
      <c r="BF227" s="30">
        <f>227</f>
        <v>227</v>
      </c>
      <c r="BH227" s="48">
        <f>G227*AO227</f>
        <v>0</v>
      </c>
      <c r="BI227" s="48">
        <f>G227*AP227</f>
        <v>0</v>
      </c>
      <c r="BJ227" s="48">
        <f>G227*H227</f>
        <v>0</v>
      </c>
    </row>
    <row r="228" spans="1:62" x14ac:dyDescent="0.2">
      <c r="C228" s="135" t="s">
        <v>412</v>
      </c>
      <c r="D228" s="136"/>
      <c r="E228" s="136"/>
      <c r="G228" s="49">
        <v>0.13</v>
      </c>
    </row>
    <row r="229" spans="1:62" x14ac:dyDescent="0.2">
      <c r="B229" s="45" t="s">
        <v>168</v>
      </c>
      <c r="C229" s="137" t="s">
        <v>413</v>
      </c>
      <c r="D229" s="138"/>
      <c r="E229" s="138"/>
      <c r="F229" s="138"/>
      <c r="G229" s="138"/>
      <c r="H229" s="138"/>
      <c r="I229" s="138"/>
      <c r="J229" s="138"/>
      <c r="K229" s="138"/>
      <c r="L229" s="138"/>
    </row>
    <row r="230" spans="1:62" x14ac:dyDescent="0.2">
      <c r="A230" s="38" t="s">
        <v>163</v>
      </c>
      <c r="B230" s="38" t="s">
        <v>233</v>
      </c>
      <c r="C230" s="131" t="s">
        <v>373</v>
      </c>
      <c r="D230" s="132"/>
      <c r="E230" s="132"/>
      <c r="F230" s="38" t="s">
        <v>423</v>
      </c>
      <c r="G230" s="48">
        <v>0.13</v>
      </c>
      <c r="H230" s="148">
        <v>0</v>
      </c>
      <c r="I230" s="148">
        <f>G230*AO230</f>
        <v>0</v>
      </c>
      <c r="J230" s="148">
        <f>G230*AP230</f>
        <v>0</v>
      </c>
      <c r="K230" s="48">
        <f>G230*H230</f>
        <v>0</v>
      </c>
      <c r="L230" s="58" t="s">
        <v>434</v>
      </c>
      <c r="Z230" s="30">
        <f>IF(AQ230="5",BJ230,0)</f>
        <v>0</v>
      </c>
      <c r="AB230" s="30">
        <f>IF(AQ230="1",BH230,0)</f>
        <v>0</v>
      </c>
      <c r="AC230" s="30">
        <f>IF(AQ230="1",BI230,0)</f>
        <v>0</v>
      </c>
      <c r="AD230" s="30">
        <f>IF(AQ230="7",BH230,0)</f>
        <v>0</v>
      </c>
      <c r="AE230" s="30">
        <f>IF(AQ230="7",BI230,0)</f>
        <v>0</v>
      </c>
      <c r="AF230" s="30">
        <f>IF(AQ230="2",BH230,0)</f>
        <v>0</v>
      </c>
      <c r="AG230" s="30">
        <f>IF(AQ230="2",BI230,0)</f>
        <v>0</v>
      </c>
      <c r="AH230" s="30">
        <f>IF(AQ230="0",BJ230,0)</f>
        <v>0</v>
      </c>
      <c r="AI230" s="57" t="s">
        <v>61</v>
      </c>
      <c r="AJ230" s="48">
        <f>IF(AN230=0,K230,0)</f>
        <v>0</v>
      </c>
      <c r="AK230" s="48">
        <f>IF(AN230=15,K230,0)</f>
        <v>0</v>
      </c>
      <c r="AL230" s="48">
        <f>IF(AN230=21,K230,0)</f>
        <v>0</v>
      </c>
      <c r="AN230" s="30">
        <v>21</v>
      </c>
      <c r="AO230" s="30">
        <f>H230*0</f>
        <v>0</v>
      </c>
      <c r="AP230" s="30">
        <f>H230*(1-0)</f>
        <v>0</v>
      </c>
      <c r="AQ230" s="58" t="s">
        <v>91</v>
      </c>
      <c r="AV230" s="30">
        <f>AW230+AX230</f>
        <v>0</v>
      </c>
      <c r="AW230" s="30">
        <f>G230*AO230</f>
        <v>0</v>
      </c>
      <c r="AX230" s="30">
        <f>G230*AP230</f>
        <v>0</v>
      </c>
      <c r="AY230" s="61" t="s">
        <v>457</v>
      </c>
      <c r="AZ230" s="61" t="s">
        <v>473</v>
      </c>
      <c r="BA230" s="57" t="s">
        <v>476</v>
      </c>
      <c r="BC230" s="30">
        <f>AW230+AX230</f>
        <v>0</v>
      </c>
      <c r="BD230" s="30">
        <f>H230/(100-BE230)*100</f>
        <v>0</v>
      </c>
      <c r="BE230" s="30">
        <v>0</v>
      </c>
      <c r="BF230" s="30">
        <f>230</f>
        <v>230</v>
      </c>
      <c r="BH230" s="48">
        <f>G230*AO230</f>
        <v>0</v>
      </c>
      <c r="BI230" s="48">
        <f>G230*AP230</f>
        <v>0</v>
      </c>
      <c r="BJ230" s="48">
        <f>G230*H230</f>
        <v>0</v>
      </c>
    </row>
    <row r="231" spans="1:62" x14ac:dyDescent="0.2">
      <c r="C231" s="135" t="s">
        <v>412</v>
      </c>
      <c r="D231" s="136"/>
      <c r="E231" s="136"/>
      <c r="G231" s="49">
        <v>0.13</v>
      </c>
    </row>
    <row r="232" spans="1:62" x14ac:dyDescent="0.2">
      <c r="A232" s="37"/>
      <c r="B232" s="44"/>
      <c r="C232" s="129" t="s">
        <v>10</v>
      </c>
      <c r="D232" s="130"/>
      <c r="E232" s="130"/>
      <c r="F232" s="37" t="s">
        <v>58</v>
      </c>
      <c r="G232" s="37" t="s">
        <v>58</v>
      </c>
      <c r="H232" s="37" t="s">
        <v>58</v>
      </c>
      <c r="I232" s="63">
        <f>SUM(I233:I236)</f>
        <v>0</v>
      </c>
      <c r="J232" s="63">
        <f>SUM(J233:J236)</f>
        <v>0</v>
      </c>
      <c r="K232" s="63">
        <f>SUM(K233:K236)</f>
        <v>0</v>
      </c>
      <c r="L232" s="57"/>
      <c r="AI232" s="57" t="s">
        <v>61</v>
      </c>
      <c r="AS232" s="63">
        <f>SUM(AJ233:AJ236)</f>
        <v>0</v>
      </c>
      <c r="AT232" s="63">
        <f>SUM(AK233:AK236)</f>
        <v>0</v>
      </c>
      <c r="AU232" s="63">
        <f>SUM(AL233:AL236)</f>
        <v>0</v>
      </c>
    </row>
    <row r="233" spans="1:62" x14ac:dyDescent="0.2">
      <c r="A233" s="39" t="s">
        <v>164</v>
      </c>
      <c r="B233" s="39" t="s">
        <v>260</v>
      </c>
      <c r="C233" s="139" t="s">
        <v>414</v>
      </c>
      <c r="D233" s="140"/>
      <c r="E233" s="140"/>
      <c r="F233" s="39" t="s">
        <v>421</v>
      </c>
      <c r="G233" s="50">
        <v>1</v>
      </c>
      <c r="H233" s="149">
        <v>0</v>
      </c>
      <c r="I233" s="149">
        <f>G233*AO233</f>
        <v>0</v>
      </c>
      <c r="J233" s="149">
        <f>G233*AP233</f>
        <v>0</v>
      </c>
      <c r="K233" s="50">
        <f>G233*H233</f>
        <v>0</v>
      </c>
      <c r="L233" s="59" t="s">
        <v>434</v>
      </c>
      <c r="Z233" s="30">
        <f>IF(AQ233="5",BJ233,0)</f>
        <v>0</v>
      </c>
      <c r="AB233" s="30">
        <f>IF(AQ233="1",BH233,0)</f>
        <v>0</v>
      </c>
      <c r="AC233" s="30">
        <f>IF(AQ233="1",BI233,0)</f>
        <v>0</v>
      </c>
      <c r="AD233" s="30">
        <f>IF(AQ233="7",BH233,0)</f>
        <v>0</v>
      </c>
      <c r="AE233" s="30">
        <f>IF(AQ233="7",BI233,0)</f>
        <v>0</v>
      </c>
      <c r="AF233" s="30">
        <f>IF(AQ233="2",BH233,0)</f>
        <v>0</v>
      </c>
      <c r="AG233" s="30">
        <f>IF(AQ233="2",BI233,0)</f>
        <v>0</v>
      </c>
      <c r="AH233" s="30">
        <f>IF(AQ233="0",BJ233,0)</f>
        <v>0</v>
      </c>
      <c r="AI233" s="57" t="s">
        <v>61</v>
      </c>
      <c r="AJ233" s="50">
        <f>IF(AN233=0,K233,0)</f>
        <v>0</v>
      </c>
      <c r="AK233" s="50">
        <f>IF(AN233=15,K233,0)</f>
        <v>0</v>
      </c>
      <c r="AL233" s="50">
        <f>IF(AN233=21,K233,0)</f>
        <v>0</v>
      </c>
      <c r="AN233" s="30">
        <v>21</v>
      </c>
      <c r="AO233" s="30">
        <f>H233*1</f>
        <v>0</v>
      </c>
      <c r="AP233" s="30">
        <f>H233*(1-1)</f>
        <v>0</v>
      </c>
      <c r="AQ233" s="59" t="s">
        <v>445</v>
      </c>
      <c r="AV233" s="30">
        <f>AW233+AX233</f>
        <v>0</v>
      </c>
      <c r="AW233" s="30">
        <f>G233*AO233</f>
        <v>0</v>
      </c>
      <c r="AX233" s="30">
        <f>G233*AP233</f>
        <v>0</v>
      </c>
      <c r="AY233" s="61" t="s">
        <v>458</v>
      </c>
      <c r="AZ233" s="61" t="s">
        <v>474</v>
      </c>
      <c r="BA233" s="57" t="s">
        <v>476</v>
      </c>
      <c r="BC233" s="30">
        <f>AW233+AX233</f>
        <v>0</v>
      </c>
      <c r="BD233" s="30">
        <f>H233/(100-BE233)*100</f>
        <v>0</v>
      </c>
      <c r="BE233" s="30">
        <v>0</v>
      </c>
      <c r="BF233" s="30">
        <f>233</f>
        <v>233</v>
      </c>
      <c r="BH233" s="50">
        <f>G233*AO233</f>
        <v>0</v>
      </c>
      <c r="BI233" s="50">
        <f>G233*AP233</f>
        <v>0</v>
      </c>
      <c r="BJ233" s="50">
        <f>G233*H233</f>
        <v>0</v>
      </c>
    </row>
    <row r="234" spans="1:62" x14ac:dyDescent="0.2">
      <c r="C234" s="135" t="s">
        <v>309</v>
      </c>
      <c r="D234" s="136"/>
      <c r="E234" s="136"/>
      <c r="G234" s="49">
        <v>1</v>
      </c>
    </row>
    <row r="235" spans="1:62" ht="25.7" customHeight="1" x14ac:dyDescent="0.2">
      <c r="B235" s="45" t="s">
        <v>168</v>
      </c>
      <c r="C235" s="137" t="s">
        <v>415</v>
      </c>
      <c r="D235" s="138"/>
      <c r="E235" s="138"/>
      <c r="F235" s="138"/>
      <c r="G235" s="138"/>
      <c r="H235" s="138"/>
      <c r="I235" s="138"/>
      <c r="J235" s="138"/>
      <c r="K235" s="138"/>
      <c r="L235" s="138"/>
    </row>
    <row r="236" spans="1:62" x14ac:dyDescent="0.2">
      <c r="A236" s="39" t="s">
        <v>56</v>
      </c>
      <c r="B236" s="39" t="s">
        <v>261</v>
      </c>
      <c r="C236" s="139" t="s">
        <v>416</v>
      </c>
      <c r="D236" s="140"/>
      <c r="E236" s="140"/>
      <c r="F236" s="39" t="s">
        <v>421</v>
      </c>
      <c r="G236" s="50">
        <v>2</v>
      </c>
      <c r="H236" s="149">
        <v>0</v>
      </c>
      <c r="I236" s="149">
        <f>G236*AO236</f>
        <v>0</v>
      </c>
      <c r="J236" s="149">
        <f>G236*AP236</f>
        <v>0</v>
      </c>
      <c r="K236" s="50">
        <f>G236*H236</f>
        <v>0</v>
      </c>
      <c r="L236" s="59" t="s">
        <v>435</v>
      </c>
      <c r="Z236" s="30">
        <f>IF(AQ236="5",BJ236,0)</f>
        <v>0</v>
      </c>
      <c r="AB236" s="30">
        <f>IF(AQ236="1",BH236,0)</f>
        <v>0</v>
      </c>
      <c r="AC236" s="30">
        <f>IF(AQ236="1",BI236,0)</f>
        <v>0</v>
      </c>
      <c r="AD236" s="30">
        <f>IF(AQ236="7",BH236,0)</f>
        <v>0</v>
      </c>
      <c r="AE236" s="30">
        <f>IF(AQ236="7",BI236,0)</f>
        <v>0</v>
      </c>
      <c r="AF236" s="30">
        <f>IF(AQ236="2",BH236,0)</f>
        <v>0</v>
      </c>
      <c r="AG236" s="30">
        <f>IF(AQ236="2",BI236,0)</f>
        <v>0</v>
      </c>
      <c r="AH236" s="30">
        <f>IF(AQ236="0",BJ236,0)</f>
        <v>0</v>
      </c>
      <c r="AI236" s="57" t="s">
        <v>61</v>
      </c>
      <c r="AJ236" s="50">
        <f>IF(AN236=0,K236,0)</f>
        <v>0</v>
      </c>
      <c r="AK236" s="50">
        <f>IF(AN236=15,K236,0)</f>
        <v>0</v>
      </c>
      <c r="AL236" s="50">
        <f>IF(AN236=21,K236,0)</f>
        <v>0</v>
      </c>
      <c r="AN236" s="30">
        <v>21</v>
      </c>
      <c r="AO236" s="30">
        <f>H236*1</f>
        <v>0</v>
      </c>
      <c r="AP236" s="30">
        <f>H236*(1-1)</f>
        <v>0</v>
      </c>
      <c r="AQ236" s="59" t="s">
        <v>445</v>
      </c>
      <c r="AV236" s="30">
        <f>AW236+AX236</f>
        <v>0</v>
      </c>
      <c r="AW236" s="30">
        <f>G236*AO236</f>
        <v>0</v>
      </c>
      <c r="AX236" s="30">
        <f>G236*AP236</f>
        <v>0</v>
      </c>
      <c r="AY236" s="61" t="s">
        <v>458</v>
      </c>
      <c r="AZ236" s="61" t="s">
        <v>474</v>
      </c>
      <c r="BA236" s="57" t="s">
        <v>476</v>
      </c>
      <c r="BC236" s="30">
        <f>AW236+AX236</f>
        <v>0</v>
      </c>
      <c r="BD236" s="30">
        <f>H236/(100-BE236)*100</f>
        <v>0</v>
      </c>
      <c r="BE236" s="30">
        <v>0</v>
      </c>
      <c r="BF236" s="30">
        <f>236</f>
        <v>236</v>
      </c>
      <c r="BH236" s="50">
        <f>G236*AO236</f>
        <v>0</v>
      </c>
      <c r="BI236" s="50">
        <f>G236*AP236</f>
        <v>0</v>
      </c>
      <c r="BJ236" s="50">
        <f>G236*H236</f>
        <v>0</v>
      </c>
    </row>
    <row r="237" spans="1:62" x14ac:dyDescent="0.2">
      <c r="A237" s="1"/>
      <c r="B237" s="1"/>
      <c r="C237" s="143" t="s">
        <v>320</v>
      </c>
      <c r="D237" s="144"/>
      <c r="E237" s="144"/>
      <c r="F237" s="1"/>
      <c r="G237" s="51">
        <v>2</v>
      </c>
      <c r="H237" s="1"/>
      <c r="I237" s="1"/>
      <c r="J237" s="1"/>
      <c r="K237" s="1"/>
      <c r="L237" s="1"/>
    </row>
    <row r="238" spans="1:62" x14ac:dyDescent="0.2">
      <c r="A238" s="5"/>
      <c r="B238" s="5"/>
      <c r="C238" s="5"/>
      <c r="D238" s="5"/>
      <c r="E238" s="5"/>
      <c r="F238" s="5"/>
      <c r="G238" s="5"/>
      <c r="H238" s="5"/>
      <c r="I238" s="121" t="s">
        <v>69</v>
      </c>
      <c r="J238" s="73"/>
      <c r="K238" s="33">
        <f>ROUND(K13+K17+K24+K60+K111+K130+K133+K138+K144+K147+K150+K153+K159+K168+K172+K177+K189+K199+K211+K217+K220+K223+K226+K232,1)</f>
        <v>0</v>
      </c>
      <c r="L238" s="5"/>
    </row>
    <row r="239" spans="1:62" ht="11.25" customHeight="1" x14ac:dyDescent="0.2">
      <c r="A239" s="26" t="s">
        <v>18</v>
      </c>
    </row>
    <row r="240" spans="1:62" x14ac:dyDescent="0.2">
      <c r="A240" s="79"/>
      <c r="B240" s="71"/>
      <c r="C240" s="71"/>
      <c r="D240" s="71"/>
      <c r="E240" s="71"/>
      <c r="F240" s="71"/>
      <c r="G240" s="71"/>
      <c r="H240" s="71"/>
      <c r="I240" s="71"/>
      <c r="J240" s="71"/>
      <c r="K240" s="71"/>
      <c r="L240" s="71"/>
    </row>
  </sheetData>
  <sheetProtection algorithmName="SHA-512" hashValue="+puSpW9mLet+UQ0uXonwoF1/dMvaenkMsjIohLLGVBA5WJu5kMbMmNcysNU98D4WKK4lbBDlngdZS4VTzvtDpg==" saltValue="F4nXEy96j3/hoNCJWIEymA==" spinCount="100000" sheet="1" objects="1" scenarios="1"/>
  <mergeCells count="256">
    <mergeCell ref="C237:E237"/>
    <mergeCell ref="I238:J238"/>
    <mergeCell ref="A240:L240"/>
    <mergeCell ref="C231:E231"/>
    <mergeCell ref="C232:E232"/>
    <mergeCell ref="C233:E233"/>
    <mergeCell ref="C234:E234"/>
    <mergeCell ref="C235:L235"/>
    <mergeCell ref="C236:E236"/>
    <mergeCell ref="C225:E225"/>
    <mergeCell ref="C226:E226"/>
    <mergeCell ref="C227:E227"/>
    <mergeCell ref="C228:E228"/>
    <mergeCell ref="C229:L229"/>
    <mergeCell ref="C230:E230"/>
    <mergeCell ref="C219:E219"/>
    <mergeCell ref="C220:E220"/>
    <mergeCell ref="C221:E221"/>
    <mergeCell ref="C222:E222"/>
    <mergeCell ref="C223:E223"/>
    <mergeCell ref="C224:E224"/>
    <mergeCell ref="C213:E213"/>
    <mergeCell ref="C214:L214"/>
    <mergeCell ref="C215:E215"/>
    <mergeCell ref="C216:E216"/>
    <mergeCell ref="C217:E217"/>
    <mergeCell ref="C218:E218"/>
    <mergeCell ref="C207:E207"/>
    <mergeCell ref="C208:E208"/>
    <mergeCell ref="C209:E209"/>
    <mergeCell ref="C210:E210"/>
    <mergeCell ref="C211:E211"/>
    <mergeCell ref="C212:E212"/>
    <mergeCell ref="C201:E201"/>
    <mergeCell ref="C202:E202"/>
    <mergeCell ref="C203:E203"/>
    <mergeCell ref="C204:E204"/>
    <mergeCell ref="C205:L205"/>
    <mergeCell ref="C206:E206"/>
    <mergeCell ref="C195:E195"/>
    <mergeCell ref="C196:E196"/>
    <mergeCell ref="C197:E197"/>
    <mergeCell ref="C198:E198"/>
    <mergeCell ref="C199:E199"/>
    <mergeCell ref="C200:E200"/>
    <mergeCell ref="C189:E189"/>
    <mergeCell ref="C190:E190"/>
    <mergeCell ref="C191:E191"/>
    <mergeCell ref="C192:E192"/>
    <mergeCell ref="C193:L193"/>
    <mergeCell ref="C194:E194"/>
    <mergeCell ref="C183:E183"/>
    <mergeCell ref="C184:E184"/>
    <mergeCell ref="C185:E185"/>
    <mergeCell ref="C186:E186"/>
    <mergeCell ref="C187:E187"/>
    <mergeCell ref="C188:E188"/>
    <mergeCell ref="C177:E177"/>
    <mergeCell ref="C178:E178"/>
    <mergeCell ref="C179:E179"/>
    <mergeCell ref="C180:L180"/>
    <mergeCell ref="C181:E181"/>
    <mergeCell ref="C182:E182"/>
    <mergeCell ref="C171:E171"/>
    <mergeCell ref="C172:E172"/>
    <mergeCell ref="C173:E173"/>
    <mergeCell ref="C174:L174"/>
    <mergeCell ref="C175:E175"/>
    <mergeCell ref="C176:L176"/>
    <mergeCell ref="C165:E165"/>
    <mergeCell ref="C166:L166"/>
    <mergeCell ref="C167:E167"/>
    <mergeCell ref="C168:E168"/>
    <mergeCell ref="C169:E169"/>
    <mergeCell ref="C170:L170"/>
    <mergeCell ref="C159:E159"/>
    <mergeCell ref="C160:E160"/>
    <mergeCell ref="C161:E161"/>
    <mergeCell ref="C162:E162"/>
    <mergeCell ref="C163:L163"/>
    <mergeCell ref="C164:E164"/>
    <mergeCell ref="C153:E153"/>
    <mergeCell ref="C154:E154"/>
    <mergeCell ref="C155:E155"/>
    <mergeCell ref="C156:L156"/>
    <mergeCell ref="C157:E157"/>
    <mergeCell ref="C158:E158"/>
    <mergeCell ref="C147:E147"/>
    <mergeCell ref="C148:E148"/>
    <mergeCell ref="C149:E149"/>
    <mergeCell ref="C150:E150"/>
    <mergeCell ref="C151:E151"/>
    <mergeCell ref="C152:E152"/>
    <mergeCell ref="C141:L141"/>
    <mergeCell ref="C142:E142"/>
    <mergeCell ref="C143:E143"/>
    <mergeCell ref="C144:E144"/>
    <mergeCell ref="C145:E145"/>
    <mergeCell ref="C146:E146"/>
    <mergeCell ref="C135:E135"/>
    <mergeCell ref="C136:L136"/>
    <mergeCell ref="C137:L137"/>
    <mergeCell ref="C138:E138"/>
    <mergeCell ref="C139:E139"/>
    <mergeCell ref="C140:E140"/>
    <mergeCell ref="C129:E129"/>
    <mergeCell ref="C130:E130"/>
    <mergeCell ref="C131:E131"/>
    <mergeCell ref="C132:E132"/>
    <mergeCell ref="C133:E133"/>
    <mergeCell ref="C134:E134"/>
    <mergeCell ref="C123:E123"/>
    <mergeCell ref="C124:E124"/>
    <mergeCell ref="C125:E125"/>
    <mergeCell ref="C126:E126"/>
    <mergeCell ref="C127:E127"/>
    <mergeCell ref="C128:E128"/>
    <mergeCell ref="C117:L117"/>
    <mergeCell ref="C118:E118"/>
    <mergeCell ref="C119:E119"/>
    <mergeCell ref="C120:E120"/>
    <mergeCell ref="C121:L121"/>
    <mergeCell ref="C122:E122"/>
    <mergeCell ref="C111:E111"/>
    <mergeCell ref="C112:E112"/>
    <mergeCell ref="C113:L113"/>
    <mergeCell ref="C114:E114"/>
    <mergeCell ref="C115:L115"/>
    <mergeCell ref="C116:E116"/>
    <mergeCell ref="C105:E105"/>
    <mergeCell ref="C106:E106"/>
    <mergeCell ref="C107:E107"/>
    <mergeCell ref="C108:E108"/>
    <mergeCell ref="C109:E109"/>
    <mergeCell ref="C110:L110"/>
    <mergeCell ref="C99:L99"/>
    <mergeCell ref="C100:E100"/>
    <mergeCell ref="C101:E101"/>
    <mergeCell ref="C102:E102"/>
    <mergeCell ref="C103:E103"/>
    <mergeCell ref="C104:E104"/>
    <mergeCell ref="C93:E93"/>
    <mergeCell ref="C94:E94"/>
    <mergeCell ref="C95:E95"/>
    <mergeCell ref="C96:E96"/>
    <mergeCell ref="C97:E97"/>
    <mergeCell ref="C98:E98"/>
    <mergeCell ref="C87:E87"/>
    <mergeCell ref="C88:E88"/>
    <mergeCell ref="C89:E89"/>
    <mergeCell ref="C90:E90"/>
    <mergeCell ref="C91:E91"/>
    <mergeCell ref="C92:E92"/>
    <mergeCell ref="C81:E81"/>
    <mergeCell ref="C82:L82"/>
    <mergeCell ref="C83:E83"/>
    <mergeCell ref="C84:L84"/>
    <mergeCell ref="C85:E85"/>
    <mergeCell ref="C86:E86"/>
    <mergeCell ref="C75:E75"/>
    <mergeCell ref="C76:E76"/>
    <mergeCell ref="C77:E77"/>
    <mergeCell ref="C78:L78"/>
    <mergeCell ref="C79:E79"/>
    <mergeCell ref="C80:L80"/>
    <mergeCell ref="C69:E69"/>
    <mergeCell ref="C70:E70"/>
    <mergeCell ref="C71:E71"/>
    <mergeCell ref="C72:L72"/>
    <mergeCell ref="C73:E73"/>
    <mergeCell ref="C74:L74"/>
    <mergeCell ref="C63:E63"/>
    <mergeCell ref="C64:E64"/>
    <mergeCell ref="C65:E65"/>
    <mergeCell ref="C66:E66"/>
    <mergeCell ref="C67:E67"/>
    <mergeCell ref="C68:E68"/>
    <mergeCell ref="C57:E57"/>
    <mergeCell ref="C58:E58"/>
    <mergeCell ref="C59:E59"/>
    <mergeCell ref="C60:E60"/>
    <mergeCell ref="C61:E61"/>
    <mergeCell ref="C62:E62"/>
    <mergeCell ref="C51:E51"/>
    <mergeCell ref="C52:E52"/>
    <mergeCell ref="C53:E53"/>
    <mergeCell ref="C54:E54"/>
    <mergeCell ref="C55:L55"/>
    <mergeCell ref="C56:E56"/>
    <mergeCell ref="C45:E45"/>
    <mergeCell ref="C46:E46"/>
    <mergeCell ref="C47:E47"/>
    <mergeCell ref="C48:E48"/>
    <mergeCell ref="C49:E49"/>
    <mergeCell ref="C50:E50"/>
    <mergeCell ref="C39:E39"/>
    <mergeCell ref="C40:E40"/>
    <mergeCell ref="C41:E41"/>
    <mergeCell ref="C42:E42"/>
    <mergeCell ref="C43:E43"/>
    <mergeCell ref="C44:E44"/>
    <mergeCell ref="C33:E33"/>
    <mergeCell ref="C34:E34"/>
    <mergeCell ref="C35:E35"/>
    <mergeCell ref="C36:E36"/>
    <mergeCell ref="C37:E37"/>
    <mergeCell ref="C38:E38"/>
    <mergeCell ref="C27:E27"/>
    <mergeCell ref="C28:E28"/>
    <mergeCell ref="C29:E29"/>
    <mergeCell ref="C30:E30"/>
    <mergeCell ref="C31:E31"/>
    <mergeCell ref="C32:E32"/>
    <mergeCell ref="C21:L21"/>
    <mergeCell ref="C22:E22"/>
    <mergeCell ref="C23:E23"/>
    <mergeCell ref="C24:E24"/>
    <mergeCell ref="C25:E25"/>
    <mergeCell ref="C26:E26"/>
    <mergeCell ref="C15:L15"/>
    <mergeCell ref="C16:E16"/>
    <mergeCell ref="C17:E17"/>
    <mergeCell ref="C18:E18"/>
    <mergeCell ref="C19:L19"/>
    <mergeCell ref="C20:E20"/>
    <mergeCell ref="C10:E10"/>
    <mergeCell ref="I10:K10"/>
    <mergeCell ref="C11:E11"/>
    <mergeCell ref="C12:E12"/>
    <mergeCell ref="C13:E13"/>
    <mergeCell ref="C14:E14"/>
    <mergeCell ref="A8:B9"/>
    <mergeCell ref="C8:C9"/>
    <mergeCell ref="D8:E9"/>
    <mergeCell ref="F8:G9"/>
    <mergeCell ref="H8:H9"/>
    <mergeCell ref="I8:L9"/>
    <mergeCell ref="A6:B7"/>
    <mergeCell ref="C6:C7"/>
    <mergeCell ref="D6:E7"/>
    <mergeCell ref="F6:G7"/>
    <mergeCell ref="H6:H7"/>
    <mergeCell ref="I6:L7"/>
    <mergeCell ref="A4:B5"/>
    <mergeCell ref="C4:C5"/>
    <mergeCell ref="D4:E5"/>
    <mergeCell ref="F4:G5"/>
    <mergeCell ref="H4:H5"/>
    <mergeCell ref="I4:L5"/>
    <mergeCell ref="A1:L1"/>
    <mergeCell ref="A2:B3"/>
    <mergeCell ref="C2:C3"/>
    <mergeCell ref="D2:E3"/>
    <mergeCell ref="F2:G3"/>
    <mergeCell ref="H2:H3"/>
    <mergeCell ref="I2:L3"/>
  </mergeCells>
  <pageMargins left="0.39400000000000002" right="0.39400000000000002" top="0.59099999999999997" bottom="0.59099999999999997" header="0.5" footer="0.5"/>
  <pageSetup paperSize="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Krycí list rozpočtu</vt:lpstr>
      <vt:lpstr>Rozpočet - objekty</vt:lpstr>
      <vt:lpstr>Rozpočet - skupiny</vt:lpstr>
      <vt:lpstr>Stavební rozpočet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dc:creator>
  <cp:lastModifiedBy>lukas</cp:lastModifiedBy>
  <dcterms:created xsi:type="dcterms:W3CDTF">2020-05-27T14:25:54Z</dcterms:created>
  <dcterms:modified xsi:type="dcterms:W3CDTF">2020-05-27T14:42:25Z</dcterms:modified>
</cp:coreProperties>
</file>